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lr264_st-andrews_ac_uk/Documents/key_bank_data/"/>
    </mc:Choice>
  </mc:AlternateContent>
  <xr:revisionPtr revIDLastSave="0" documentId="8_{AC5F60E0-7349-4CD1-A369-E672630874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IData" sheetId="2" r:id="rId1"/>
    <sheet name="ReferenceData" sheetId="3" r:id="rId2"/>
    <sheet name="Help-Referenc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9" i="3" l="1"/>
  <c r="C283" i="3"/>
  <c r="C281" i="3"/>
  <c r="DU295" i="3" l="1"/>
  <c r="DT295" i="3"/>
  <c r="DS295" i="3"/>
  <c r="DR295" i="3"/>
  <c r="DQ295" i="3"/>
  <c r="DP295" i="3"/>
  <c r="DO295" i="3"/>
  <c r="DN295" i="3"/>
  <c r="DM295" i="3"/>
  <c r="DL295" i="3"/>
  <c r="DK295" i="3"/>
  <c r="DJ295" i="3"/>
  <c r="DI295" i="3"/>
  <c r="DH295" i="3"/>
  <c r="DG295" i="3"/>
  <c r="DF295" i="3"/>
  <c r="DE295" i="3"/>
  <c r="DD295" i="3"/>
  <c r="DC295" i="3"/>
  <c r="DB295" i="3"/>
  <c r="DA295" i="3"/>
  <c r="CZ295" i="3"/>
  <c r="CY295" i="3"/>
  <c r="CX295" i="3"/>
  <c r="CW295" i="3"/>
  <c r="CV295" i="3"/>
  <c r="CU295" i="3"/>
  <c r="CT295" i="3"/>
  <c r="CS295" i="3"/>
  <c r="CR295" i="3"/>
  <c r="CQ295" i="3"/>
  <c r="CP295" i="3"/>
  <c r="CO295" i="3"/>
  <c r="CN295" i="3"/>
  <c r="CM295" i="3"/>
  <c r="CL295" i="3"/>
  <c r="CK295" i="3"/>
  <c r="CJ295" i="3"/>
  <c r="CI295" i="3"/>
  <c r="CH295" i="3"/>
  <c r="CG295" i="3"/>
  <c r="CF295" i="3"/>
  <c r="CE295" i="3"/>
  <c r="CD295" i="3"/>
  <c r="CC295" i="3"/>
  <c r="CB295" i="3"/>
  <c r="CA295" i="3"/>
  <c r="BZ295" i="3"/>
  <c r="BY295" i="3"/>
  <c r="BX295" i="3"/>
  <c r="BW295" i="3"/>
  <c r="BV295" i="3"/>
  <c r="BU295" i="3"/>
  <c r="BT295" i="3"/>
  <c r="BS295" i="3"/>
  <c r="BR295" i="3"/>
  <c r="BQ295" i="3"/>
  <c r="BP295" i="3"/>
  <c r="BO295" i="3"/>
  <c r="BN295" i="3"/>
  <c r="E295" i="3"/>
  <c r="D295" i="3"/>
  <c r="C295" i="3"/>
  <c r="B295" i="3"/>
  <c r="A295" i="3"/>
  <c r="DU294" i="3"/>
  <c r="DT294" i="3"/>
  <c r="DS294" i="3"/>
  <c r="DR294" i="3"/>
  <c r="DQ294" i="3"/>
  <c r="DP294" i="3"/>
  <c r="DO294" i="3"/>
  <c r="DN294" i="3"/>
  <c r="DM294" i="3"/>
  <c r="DL294" i="3"/>
  <c r="DK294" i="3"/>
  <c r="DJ294" i="3"/>
  <c r="DI294" i="3"/>
  <c r="DH294" i="3"/>
  <c r="DG294" i="3"/>
  <c r="DF294" i="3"/>
  <c r="DE294" i="3"/>
  <c r="DD294" i="3"/>
  <c r="DC294" i="3"/>
  <c r="DB294" i="3"/>
  <c r="DA294" i="3"/>
  <c r="CZ294" i="3"/>
  <c r="CY294" i="3"/>
  <c r="CX294" i="3"/>
  <c r="CW294" i="3"/>
  <c r="CV294" i="3"/>
  <c r="CU294" i="3"/>
  <c r="CT294" i="3"/>
  <c r="CS294" i="3"/>
  <c r="CR294" i="3"/>
  <c r="CQ294" i="3"/>
  <c r="CP294" i="3"/>
  <c r="CO294" i="3"/>
  <c r="CN294" i="3"/>
  <c r="CM294" i="3"/>
  <c r="CL294" i="3"/>
  <c r="CK294" i="3"/>
  <c r="CJ294" i="3"/>
  <c r="CI294" i="3"/>
  <c r="CH294" i="3"/>
  <c r="CG294" i="3"/>
  <c r="CF294" i="3"/>
  <c r="CE294" i="3"/>
  <c r="CD294" i="3"/>
  <c r="CC294" i="3"/>
  <c r="CB294" i="3"/>
  <c r="CA294" i="3"/>
  <c r="BZ294" i="3"/>
  <c r="BY294" i="3"/>
  <c r="BX294" i="3"/>
  <c r="BW294" i="3"/>
  <c r="BV294" i="3"/>
  <c r="BU294" i="3"/>
  <c r="BT294" i="3"/>
  <c r="BS294" i="3"/>
  <c r="BR294" i="3"/>
  <c r="BQ294" i="3"/>
  <c r="BP294" i="3"/>
  <c r="BO294" i="3"/>
  <c r="BN294" i="3"/>
  <c r="A294" i="3"/>
  <c r="DU293" i="3"/>
  <c r="DT293" i="3"/>
  <c r="DS293" i="3"/>
  <c r="DR293" i="3"/>
  <c r="DQ293" i="3"/>
  <c r="DP293" i="3"/>
  <c r="DO293" i="3"/>
  <c r="DN293" i="3"/>
  <c r="DM293" i="3"/>
  <c r="DL293" i="3"/>
  <c r="DK293" i="3"/>
  <c r="DJ293" i="3"/>
  <c r="DI293" i="3"/>
  <c r="DH293" i="3"/>
  <c r="DG293" i="3"/>
  <c r="DF293" i="3"/>
  <c r="DE293" i="3"/>
  <c r="DD293" i="3"/>
  <c r="DC293" i="3"/>
  <c r="DB293" i="3"/>
  <c r="DA293" i="3"/>
  <c r="CZ293" i="3"/>
  <c r="CY293" i="3"/>
  <c r="CX293" i="3"/>
  <c r="CW293" i="3"/>
  <c r="CV293" i="3"/>
  <c r="CU293" i="3"/>
  <c r="CT293" i="3"/>
  <c r="CS293" i="3"/>
  <c r="CR293" i="3"/>
  <c r="CQ293" i="3"/>
  <c r="CP293" i="3"/>
  <c r="CO293" i="3"/>
  <c r="CN293" i="3"/>
  <c r="CM293" i="3"/>
  <c r="CL293" i="3"/>
  <c r="CK293" i="3"/>
  <c r="CJ293" i="3"/>
  <c r="CI293" i="3"/>
  <c r="CH293" i="3"/>
  <c r="CG293" i="3"/>
  <c r="CF293" i="3"/>
  <c r="CE293" i="3"/>
  <c r="CD293" i="3"/>
  <c r="CC293" i="3"/>
  <c r="CB293" i="3"/>
  <c r="CA293" i="3"/>
  <c r="BZ293" i="3"/>
  <c r="BY293" i="3"/>
  <c r="BX293" i="3"/>
  <c r="BW293" i="3"/>
  <c r="BV293" i="3"/>
  <c r="BU293" i="3"/>
  <c r="BT293" i="3"/>
  <c r="BS293" i="3"/>
  <c r="BR293" i="3"/>
  <c r="BQ293" i="3"/>
  <c r="BP293" i="3"/>
  <c r="BO293" i="3"/>
  <c r="BN293" i="3"/>
  <c r="A293" i="3"/>
  <c r="DU292" i="3"/>
  <c r="DT292" i="3"/>
  <c r="DS292" i="3"/>
  <c r="DR292" i="3"/>
  <c r="DQ292" i="3"/>
  <c r="DP292" i="3"/>
  <c r="DO292" i="3"/>
  <c r="DN292" i="3"/>
  <c r="DM292" i="3"/>
  <c r="DL292" i="3"/>
  <c r="DK292" i="3"/>
  <c r="DJ292" i="3"/>
  <c r="DI292" i="3"/>
  <c r="DH292" i="3"/>
  <c r="DG292" i="3"/>
  <c r="DF292" i="3"/>
  <c r="DE292" i="3"/>
  <c r="DD292" i="3"/>
  <c r="DC292" i="3"/>
  <c r="DB292" i="3"/>
  <c r="DA292" i="3"/>
  <c r="CZ292" i="3"/>
  <c r="CY292" i="3"/>
  <c r="CX292" i="3"/>
  <c r="CW292" i="3"/>
  <c r="CV292" i="3"/>
  <c r="CU292" i="3"/>
  <c r="CT292" i="3"/>
  <c r="CS292" i="3"/>
  <c r="CR292" i="3"/>
  <c r="CQ292" i="3"/>
  <c r="CP292" i="3"/>
  <c r="CO292" i="3"/>
  <c r="CN292" i="3"/>
  <c r="CM292" i="3"/>
  <c r="CL292" i="3"/>
  <c r="CK292" i="3"/>
  <c r="CJ292" i="3"/>
  <c r="CI292" i="3"/>
  <c r="CH292" i="3"/>
  <c r="CG292" i="3"/>
  <c r="CF292" i="3"/>
  <c r="CE292" i="3"/>
  <c r="CD292" i="3"/>
  <c r="CC292" i="3"/>
  <c r="CB292" i="3"/>
  <c r="CA292" i="3"/>
  <c r="BZ292" i="3"/>
  <c r="BY292" i="3"/>
  <c r="BX292" i="3"/>
  <c r="BW292" i="3"/>
  <c r="BV292" i="3"/>
  <c r="BU292" i="3"/>
  <c r="BT292" i="3"/>
  <c r="BS292" i="3"/>
  <c r="BR292" i="3"/>
  <c r="BQ292" i="3"/>
  <c r="BP292" i="3"/>
  <c r="BO292" i="3"/>
  <c r="BN292" i="3"/>
  <c r="A292" i="3"/>
  <c r="DU291" i="3"/>
  <c r="DT291" i="3"/>
  <c r="DS291" i="3"/>
  <c r="DR291" i="3"/>
  <c r="DQ291" i="3"/>
  <c r="DP291" i="3"/>
  <c r="DO291" i="3"/>
  <c r="DN291" i="3"/>
  <c r="DM291" i="3"/>
  <c r="DL291" i="3"/>
  <c r="DK291" i="3"/>
  <c r="DJ291" i="3"/>
  <c r="DI291" i="3"/>
  <c r="DH291" i="3"/>
  <c r="DG291" i="3"/>
  <c r="DF291" i="3"/>
  <c r="DE291" i="3"/>
  <c r="DD291" i="3"/>
  <c r="DC291" i="3"/>
  <c r="DB291" i="3"/>
  <c r="DA291" i="3"/>
  <c r="CZ291" i="3"/>
  <c r="CY291" i="3"/>
  <c r="CX291" i="3"/>
  <c r="CW291" i="3"/>
  <c r="CV291" i="3"/>
  <c r="CU291" i="3"/>
  <c r="CT291" i="3"/>
  <c r="CS291" i="3"/>
  <c r="CR291" i="3"/>
  <c r="CQ291" i="3"/>
  <c r="CP291" i="3"/>
  <c r="CO291" i="3"/>
  <c r="CN291" i="3"/>
  <c r="CM291" i="3"/>
  <c r="CL291" i="3"/>
  <c r="CK291" i="3"/>
  <c r="CJ291" i="3"/>
  <c r="CI291" i="3"/>
  <c r="CH291" i="3"/>
  <c r="CG291" i="3"/>
  <c r="CF291" i="3"/>
  <c r="CE291" i="3"/>
  <c r="CD291" i="3"/>
  <c r="CC291" i="3"/>
  <c r="CB291" i="3"/>
  <c r="CA291" i="3"/>
  <c r="BZ291" i="3"/>
  <c r="BY291" i="3"/>
  <c r="BX291" i="3"/>
  <c r="BW291" i="3"/>
  <c r="BV291" i="3"/>
  <c r="BU291" i="3"/>
  <c r="BT291" i="3"/>
  <c r="BS291" i="3"/>
  <c r="BR291" i="3"/>
  <c r="BQ291" i="3"/>
  <c r="BP291" i="3"/>
  <c r="BO291" i="3"/>
  <c r="BN291" i="3"/>
  <c r="A291" i="3"/>
  <c r="DU290" i="3"/>
  <c r="DT290" i="3"/>
  <c r="DS290" i="3"/>
  <c r="DR290" i="3"/>
  <c r="DQ290" i="3"/>
  <c r="DP290" i="3"/>
  <c r="DO290" i="3"/>
  <c r="DN290" i="3"/>
  <c r="DM290" i="3"/>
  <c r="DL290" i="3"/>
  <c r="DK290" i="3"/>
  <c r="DJ290" i="3"/>
  <c r="DI290" i="3"/>
  <c r="DH290" i="3"/>
  <c r="DG290" i="3"/>
  <c r="DF290" i="3"/>
  <c r="DE290" i="3"/>
  <c r="DD290" i="3"/>
  <c r="DC290" i="3"/>
  <c r="DB290" i="3"/>
  <c r="DA290" i="3"/>
  <c r="CZ290" i="3"/>
  <c r="CY290" i="3"/>
  <c r="CX290" i="3"/>
  <c r="CW290" i="3"/>
  <c r="CV290" i="3"/>
  <c r="CU290" i="3"/>
  <c r="CT290" i="3"/>
  <c r="CS290" i="3"/>
  <c r="CR290" i="3"/>
  <c r="CQ290" i="3"/>
  <c r="CP290" i="3"/>
  <c r="CO290" i="3"/>
  <c r="CN290" i="3"/>
  <c r="CM290" i="3"/>
  <c r="CL290" i="3"/>
  <c r="CK290" i="3"/>
  <c r="CJ290" i="3"/>
  <c r="CI290" i="3"/>
  <c r="CH290" i="3"/>
  <c r="CG290" i="3"/>
  <c r="CF290" i="3"/>
  <c r="CE290" i="3"/>
  <c r="CD290" i="3"/>
  <c r="CC290" i="3"/>
  <c r="CB290" i="3"/>
  <c r="CA290" i="3"/>
  <c r="BZ290" i="3"/>
  <c r="BY290" i="3"/>
  <c r="BX290" i="3"/>
  <c r="BW290" i="3"/>
  <c r="BV290" i="3"/>
  <c r="BU290" i="3"/>
  <c r="BT290" i="3"/>
  <c r="BS290" i="3"/>
  <c r="BR290" i="3"/>
  <c r="BQ290" i="3"/>
  <c r="BP290" i="3"/>
  <c r="BO290" i="3"/>
  <c r="BN290" i="3"/>
  <c r="A290" i="3"/>
  <c r="DU289" i="3"/>
  <c r="DT289" i="3"/>
  <c r="DS289" i="3"/>
  <c r="DR289" i="3"/>
  <c r="DQ289" i="3"/>
  <c r="DP289" i="3"/>
  <c r="DO289" i="3"/>
  <c r="DN289" i="3"/>
  <c r="DM289" i="3"/>
  <c r="DL289" i="3"/>
  <c r="DK289" i="3"/>
  <c r="DJ289" i="3"/>
  <c r="DI289" i="3"/>
  <c r="DH289" i="3"/>
  <c r="DG289" i="3"/>
  <c r="DF289" i="3"/>
  <c r="DE289" i="3"/>
  <c r="DD289" i="3"/>
  <c r="DC289" i="3"/>
  <c r="DB289" i="3"/>
  <c r="DA289" i="3"/>
  <c r="CZ289" i="3"/>
  <c r="CY289" i="3"/>
  <c r="CX289" i="3"/>
  <c r="CW289" i="3"/>
  <c r="CV289" i="3"/>
  <c r="CU289" i="3"/>
  <c r="CT289" i="3"/>
  <c r="CS289" i="3"/>
  <c r="CR289" i="3"/>
  <c r="CQ289" i="3"/>
  <c r="CP289" i="3"/>
  <c r="CO289" i="3"/>
  <c r="CN289" i="3"/>
  <c r="CM289" i="3"/>
  <c r="CL289" i="3"/>
  <c r="CK289" i="3"/>
  <c r="CJ289" i="3"/>
  <c r="CI289" i="3"/>
  <c r="CH289" i="3"/>
  <c r="CG289" i="3"/>
  <c r="CF289" i="3"/>
  <c r="CE289" i="3"/>
  <c r="CD289" i="3"/>
  <c r="CC289" i="3"/>
  <c r="CB289" i="3"/>
  <c r="CA289" i="3"/>
  <c r="BZ289" i="3"/>
  <c r="BY289" i="3"/>
  <c r="BX289" i="3"/>
  <c r="BW289" i="3"/>
  <c r="BV289" i="3"/>
  <c r="BU289" i="3"/>
  <c r="BT289" i="3"/>
  <c r="BS289" i="3"/>
  <c r="BR289" i="3"/>
  <c r="BQ289" i="3"/>
  <c r="BP289" i="3"/>
  <c r="BO289" i="3"/>
  <c r="BN289" i="3"/>
  <c r="A289" i="3"/>
  <c r="DU288" i="3"/>
  <c r="DT288" i="3"/>
  <c r="DS288" i="3"/>
  <c r="DR288" i="3"/>
  <c r="DQ288" i="3"/>
  <c r="DP288" i="3"/>
  <c r="DO288" i="3"/>
  <c r="DN288" i="3"/>
  <c r="DM288" i="3"/>
  <c r="DL288" i="3"/>
  <c r="DK288" i="3"/>
  <c r="DJ288" i="3"/>
  <c r="DI288" i="3"/>
  <c r="DH288" i="3"/>
  <c r="DG288" i="3"/>
  <c r="DF288" i="3"/>
  <c r="DE288" i="3"/>
  <c r="DD288" i="3"/>
  <c r="DC288" i="3"/>
  <c r="DB288" i="3"/>
  <c r="DA288" i="3"/>
  <c r="CZ288" i="3"/>
  <c r="CY288" i="3"/>
  <c r="CX288" i="3"/>
  <c r="CW288" i="3"/>
  <c r="CV288" i="3"/>
  <c r="CU288" i="3"/>
  <c r="CT288" i="3"/>
  <c r="CS288" i="3"/>
  <c r="CR288" i="3"/>
  <c r="CQ288" i="3"/>
  <c r="CP288" i="3"/>
  <c r="CO288" i="3"/>
  <c r="CN288" i="3"/>
  <c r="CM288" i="3"/>
  <c r="CL288" i="3"/>
  <c r="CK288" i="3"/>
  <c r="CJ288" i="3"/>
  <c r="CI288" i="3"/>
  <c r="CH288" i="3"/>
  <c r="CG288" i="3"/>
  <c r="CF288" i="3"/>
  <c r="CE288" i="3"/>
  <c r="CD288" i="3"/>
  <c r="CC288" i="3"/>
  <c r="CB288" i="3"/>
  <c r="CA288" i="3"/>
  <c r="BZ288" i="3"/>
  <c r="BY288" i="3"/>
  <c r="BX288" i="3"/>
  <c r="BW288" i="3"/>
  <c r="BV288" i="3"/>
  <c r="BU288" i="3"/>
  <c r="BT288" i="3"/>
  <c r="BS288" i="3"/>
  <c r="BR288" i="3"/>
  <c r="BQ288" i="3"/>
  <c r="BP288" i="3"/>
  <c r="BO288" i="3"/>
  <c r="BN288" i="3"/>
  <c r="A288" i="3"/>
  <c r="DU287" i="3"/>
  <c r="DT287" i="3"/>
  <c r="DS287" i="3"/>
  <c r="DR287" i="3"/>
  <c r="DQ287" i="3"/>
  <c r="DP287" i="3"/>
  <c r="DO287" i="3"/>
  <c r="DN287" i="3"/>
  <c r="DM287" i="3"/>
  <c r="DL287" i="3"/>
  <c r="DK287" i="3"/>
  <c r="DJ287" i="3"/>
  <c r="DI287" i="3"/>
  <c r="DH287" i="3"/>
  <c r="DG287" i="3"/>
  <c r="DF287" i="3"/>
  <c r="DE287" i="3"/>
  <c r="DD287" i="3"/>
  <c r="DC287" i="3"/>
  <c r="DB287" i="3"/>
  <c r="DA287" i="3"/>
  <c r="CZ287" i="3"/>
  <c r="CY287" i="3"/>
  <c r="CX287" i="3"/>
  <c r="CW287" i="3"/>
  <c r="CV287" i="3"/>
  <c r="CU287" i="3"/>
  <c r="CT287" i="3"/>
  <c r="CS287" i="3"/>
  <c r="CR287" i="3"/>
  <c r="CQ287" i="3"/>
  <c r="CP287" i="3"/>
  <c r="CO287" i="3"/>
  <c r="CN287" i="3"/>
  <c r="CM287" i="3"/>
  <c r="CL287" i="3"/>
  <c r="CK287" i="3"/>
  <c r="CJ287" i="3"/>
  <c r="CI287" i="3"/>
  <c r="CH287" i="3"/>
  <c r="CG287" i="3"/>
  <c r="CF287" i="3"/>
  <c r="CE287" i="3"/>
  <c r="CD287" i="3"/>
  <c r="CC287" i="3"/>
  <c r="CB287" i="3"/>
  <c r="CA287" i="3"/>
  <c r="BZ287" i="3"/>
  <c r="BY287" i="3"/>
  <c r="BX287" i="3"/>
  <c r="BW287" i="3"/>
  <c r="BV287" i="3"/>
  <c r="BU287" i="3"/>
  <c r="BT287" i="3"/>
  <c r="BS287" i="3"/>
  <c r="BR287" i="3"/>
  <c r="BQ287" i="3"/>
  <c r="BP287" i="3"/>
  <c r="BO287" i="3"/>
  <c r="BN287" i="3"/>
  <c r="A287" i="3"/>
  <c r="DU286" i="3"/>
  <c r="DT286" i="3"/>
  <c r="DS286" i="3"/>
  <c r="DR286" i="3"/>
  <c r="DQ286" i="3"/>
  <c r="DP286" i="3"/>
  <c r="DO286" i="3"/>
  <c r="DN286" i="3"/>
  <c r="DM286" i="3"/>
  <c r="DL286" i="3"/>
  <c r="DK286" i="3"/>
  <c r="DJ286" i="3"/>
  <c r="DI286" i="3"/>
  <c r="DH286" i="3"/>
  <c r="DG286" i="3"/>
  <c r="DF286" i="3"/>
  <c r="DE286" i="3"/>
  <c r="DD286" i="3"/>
  <c r="DC286" i="3"/>
  <c r="DB286" i="3"/>
  <c r="DA286" i="3"/>
  <c r="CZ286" i="3"/>
  <c r="CY286" i="3"/>
  <c r="CX286" i="3"/>
  <c r="CW286" i="3"/>
  <c r="CV286" i="3"/>
  <c r="CU286" i="3"/>
  <c r="CT286" i="3"/>
  <c r="CS286" i="3"/>
  <c r="CR286" i="3"/>
  <c r="CQ286" i="3"/>
  <c r="CP286" i="3"/>
  <c r="CO286" i="3"/>
  <c r="CN286" i="3"/>
  <c r="CM286" i="3"/>
  <c r="CL286" i="3"/>
  <c r="CK286" i="3"/>
  <c r="CJ286" i="3"/>
  <c r="CI286" i="3"/>
  <c r="CH286" i="3"/>
  <c r="CG286" i="3"/>
  <c r="CF286" i="3"/>
  <c r="CE286" i="3"/>
  <c r="CD286" i="3"/>
  <c r="CC286" i="3"/>
  <c r="CB286" i="3"/>
  <c r="CA286" i="3"/>
  <c r="BZ286" i="3"/>
  <c r="BY286" i="3"/>
  <c r="BX286" i="3"/>
  <c r="BW286" i="3"/>
  <c r="BV286" i="3"/>
  <c r="BU286" i="3"/>
  <c r="BT286" i="3"/>
  <c r="BS286" i="3"/>
  <c r="BR286" i="3"/>
  <c r="BQ286" i="3"/>
  <c r="BP286" i="3"/>
  <c r="BO286" i="3"/>
  <c r="BN286" i="3"/>
  <c r="A286" i="3"/>
  <c r="DU285" i="3"/>
  <c r="DT285" i="3"/>
  <c r="DS285" i="3"/>
  <c r="DR285" i="3"/>
  <c r="DQ285" i="3"/>
  <c r="DP285" i="3"/>
  <c r="DO285" i="3"/>
  <c r="DN285" i="3"/>
  <c r="DM285" i="3"/>
  <c r="DL285" i="3"/>
  <c r="DK285" i="3"/>
  <c r="DJ285" i="3"/>
  <c r="DI285" i="3"/>
  <c r="DH285" i="3"/>
  <c r="DG285" i="3"/>
  <c r="DF285" i="3"/>
  <c r="DE285" i="3"/>
  <c r="DD285" i="3"/>
  <c r="DC285" i="3"/>
  <c r="DB285" i="3"/>
  <c r="DA285" i="3"/>
  <c r="CZ285" i="3"/>
  <c r="CY285" i="3"/>
  <c r="CX285" i="3"/>
  <c r="CW285" i="3"/>
  <c r="CV285" i="3"/>
  <c r="CU285" i="3"/>
  <c r="CT285" i="3"/>
  <c r="CS285" i="3"/>
  <c r="CR285" i="3"/>
  <c r="CQ285" i="3"/>
  <c r="CP285" i="3"/>
  <c r="CO285" i="3"/>
  <c r="CN285" i="3"/>
  <c r="CM285" i="3"/>
  <c r="CL285" i="3"/>
  <c r="CK285" i="3"/>
  <c r="CJ285" i="3"/>
  <c r="CI285" i="3"/>
  <c r="CH285" i="3"/>
  <c r="CG285" i="3"/>
  <c r="CF285" i="3"/>
  <c r="CE285" i="3"/>
  <c r="CD285" i="3"/>
  <c r="CC285" i="3"/>
  <c r="CB285" i="3"/>
  <c r="CA285" i="3"/>
  <c r="BZ285" i="3"/>
  <c r="BY285" i="3"/>
  <c r="BX285" i="3"/>
  <c r="BW285" i="3"/>
  <c r="BV285" i="3"/>
  <c r="BU285" i="3"/>
  <c r="BT285" i="3"/>
  <c r="BS285" i="3"/>
  <c r="BR285" i="3"/>
  <c r="BQ285" i="3"/>
  <c r="BP285" i="3"/>
  <c r="BO285" i="3"/>
  <c r="BN285" i="3"/>
  <c r="A285" i="3"/>
  <c r="DU284" i="3"/>
  <c r="DT284" i="3"/>
  <c r="DS284" i="3"/>
  <c r="DR284" i="3"/>
  <c r="DQ284" i="3"/>
  <c r="DP284" i="3"/>
  <c r="DO284" i="3"/>
  <c r="DN284" i="3"/>
  <c r="DM284" i="3"/>
  <c r="DL284" i="3"/>
  <c r="DK284" i="3"/>
  <c r="DJ284" i="3"/>
  <c r="DI284" i="3"/>
  <c r="DH284" i="3"/>
  <c r="DG284" i="3"/>
  <c r="DF284" i="3"/>
  <c r="DE284" i="3"/>
  <c r="DD284" i="3"/>
  <c r="DC284" i="3"/>
  <c r="DB284" i="3"/>
  <c r="DA284" i="3"/>
  <c r="CZ284" i="3"/>
  <c r="CY284" i="3"/>
  <c r="CX284" i="3"/>
  <c r="CW284" i="3"/>
  <c r="CV284" i="3"/>
  <c r="CU284" i="3"/>
  <c r="CT284" i="3"/>
  <c r="CS284" i="3"/>
  <c r="CR284" i="3"/>
  <c r="CQ284" i="3"/>
  <c r="CP284" i="3"/>
  <c r="CO284" i="3"/>
  <c r="CN284" i="3"/>
  <c r="CM284" i="3"/>
  <c r="CL284" i="3"/>
  <c r="CK284" i="3"/>
  <c r="CJ284" i="3"/>
  <c r="CI284" i="3"/>
  <c r="CH284" i="3"/>
  <c r="CG284" i="3"/>
  <c r="CF284" i="3"/>
  <c r="CE284" i="3"/>
  <c r="CD284" i="3"/>
  <c r="CC284" i="3"/>
  <c r="CB284" i="3"/>
  <c r="CA284" i="3"/>
  <c r="BZ284" i="3"/>
  <c r="BY284" i="3"/>
  <c r="BX284" i="3"/>
  <c r="BW284" i="3"/>
  <c r="BV284" i="3"/>
  <c r="BU284" i="3"/>
  <c r="BT284" i="3"/>
  <c r="BS284" i="3"/>
  <c r="BR284" i="3"/>
  <c r="BQ284" i="3"/>
  <c r="BP284" i="3"/>
  <c r="BO284" i="3"/>
  <c r="BN284" i="3"/>
  <c r="A284" i="3"/>
  <c r="DU283" i="3"/>
  <c r="DT283" i="3"/>
  <c r="DS283" i="3"/>
  <c r="DR283" i="3"/>
  <c r="DQ283" i="3"/>
  <c r="DP283" i="3"/>
  <c r="DO283" i="3"/>
  <c r="DN283" i="3"/>
  <c r="DM283" i="3"/>
  <c r="DL283" i="3"/>
  <c r="DK283" i="3"/>
  <c r="DJ283" i="3"/>
  <c r="DI283" i="3"/>
  <c r="DH283" i="3"/>
  <c r="DG283" i="3"/>
  <c r="DF283" i="3"/>
  <c r="DE283" i="3"/>
  <c r="DD283" i="3"/>
  <c r="DC283" i="3"/>
  <c r="DB283" i="3"/>
  <c r="DA283" i="3"/>
  <c r="CZ283" i="3"/>
  <c r="CY283" i="3"/>
  <c r="CX283" i="3"/>
  <c r="CW283" i="3"/>
  <c r="CV283" i="3"/>
  <c r="CU283" i="3"/>
  <c r="CT283" i="3"/>
  <c r="CS283" i="3"/>
  <c r="CR283" i="3"/>
  <c r="CQ283" i="3"/>
  <c r="CP283" i="3"/>
  <c r="CO283" i="3"/>
  <c r="CN283" i="3"/>
  <c r="CM283" i="3"/>
  <c r="CL283" i="3"/>
  <c r="CK283" i="3"/>
  <c r="CJ283" i="3"/>
  <c r="CI283" i="3"/>
  <c r="CH283" i="3"/>
  <c r="CG283" i="3"/>
  <c r="CF283" i="3"/>
  <c r="CE283" i="3"/>
  <c r="CD283" i="3"/>
  <c r="CC283" i="3"/>
  <c r="CB283" i="3"/>
  <c r="CA283" i="3"/>
  <c r="BZ283" i="3"/>
  <c r="BY283" i="3"/>
  <c r="BX283" i="3"/>
  <c r="BW283" i="3"/>
  <c r="BV283" i="3"/>
  <c r="BU283" i="3"/>
  <c r="BT283" i="3"/>
  <c r="BS283" i="3"/>
  <c r="BR283" i="3"/>
  <c r="BQ283" i="3"/>
  <c r="BP283" i="3"/>
  <c r="BO283" i="3"/>
  <c r="BN283" i="3"/>
  <c r="A283" i="3"/>
  <c r="DU282" i="3"/>
  <c r="DT282" i="3"/>
  <c r="DS282" i="3"/>
  <c r="DR282" i="3"/>
  <c r="DQ282" i="3"/>
  <c r="DP282" i="3"/>
  <c r="DO282" i="3"/>
  <c r="DN282" i="3"/>
  <c r="DM282" i="3"/>
  <c r="DL282" i="3"/>
  <c r="DK282" i="3"/>
  <c r="DJ282" i="3"/>
  <c r="DI282" i="3"/>
  <c r="DH282" i="3"/>
  <c r="DG282" i="3"/>
  <c r="DF282" i="3"/>
  <c r="DE282" i="3"/>
  <c r="DD282" i="3"/>
  <c r="DC282" i="3"/>
  <c r="DB282" i="3"/>
  <c r="DA282" i="3"/>
  <c r="CZ282" i="3"/>
  <c r="CY282" i="3"/>
  <c r="CX282" i="3"/>
  <c r="CW282" i="3"/>
  <c r="CV282" i="3"/>
  <c r="CU282" i="3"/>
  <c r="CT282" i="3"/>
  <c r="CS282" i="3"/>
  <c r="CR282" i="3"/>
  <c r="CQ282" i="3"/>
  <c r="CP282" i="3"/>
  <c r="CO282" i="3"/>
  <c r="CN282" i="3"/>
  <c r="CM282" i="3"/>
  <c r="CL282" i="3"/>
  <c r="CK282" i="3"/>
  <c r="CJ282" i="3"/>
  <c r="CI282" i="3"/>
  <c r="CH282" i="3"/>
  <c r="CG282" i="3"/>
  <c r="CF282" i="3"/>
  <c r="CE282" i="3"/>
  <c r="CD282" i="3"/>
  <c r="CC282" i="3"/>
  <c r="CB282" i="3"/>
  <c r="CA282" i="3"/>
  <c r="BZ282" i="3"/>
  <c r="BY282" i="3"/>
  <c r="BX282" i="3"/>
  <c r="BW282" i="3"/>
  <c r="BV282" i="3"/>
  <c r="BU282" i="3"/>
  <c r="BT282" i="3"/>
  <c r="BS282" i="3"/>
  <c r="BR282" i="3"/>
  <c r="BQ282" i="3"/>
  <c r="BP282" i="3"/>
  <c r="BO282" i="3"/>
  <c r="BN282" i="3"/>
  <c r="A282" i="3"/>
  <c r="DU281" i="3"/>
  <c r="DT281" i="3"/>
  <c r="DS281" i="3"/>
  <c r="DR281" i="3"/>
  <c r="DQ281" i="3"/>
  <c r="DP281" i="3"/>
  <c r="DO281" i="3"/>
  <c r="DN281" i="3"/>
  <c r="DM281" i="3"/>
  <c r="DL281" i="3"/>
  <c r="DK281" i="3"/>
  <c r="DJ281" i="3"/>
  <c r="DI281" i="3"/>
  <c r="DH281" i="3"/>
  <c r="DG281" i="3"/>
  <c r="DF281" i="3"/>
  <c r="DE281" i="3"/>
  <c r="DD281" i="3"/>
  <c r="DC281" i="3"/>
  <c r="DB281" i="3"/>
  <c r="DA281" i="3"/>
  <c r="CZ281" i="3"/>
  <c r="CY281" i="3"/>
  <c r="CX281" i="3"/>
  <c r="CW281" i="3"/>
  <c r="CV281" i="3"/>
  <c r="CU281" i="3"/>
  <c r="CT281" i="3"/>
  <c r="CS281" i="3"/>
  <c r="CR281" i="3"/>
  <c r="CQ281" i="3"/>
  <c r="CP281" i="3"/>
  <c r="CO281" i="3"/>
  <c r="CN281" i="3"/>
  <c r="CM281" i="3"/>
  <c r="CL281" i="3"/>
  <c r="CK281" i="3"/>
  <c r="CJ281" i="3"/>
  <c r="CI281" i="3"/>
  <c r="CH281" i="3"/>
  <c r="CG281" i="3"/>
  <c r="CF281" i="3"/>
  <c r="CE281" i="3"/>
  <c r="CD281" i="3"/>
  <c r="CC281" i="3"/>
  <c r="CB281" i="3"/>
  <c r="CA281" i="3"/>
  <c r="BZ281" i="3"/>
  <c r="BY281" i="3"/>
  <c r="BX281" i="3"/>
  <c r="BW281" i="3"/>
  <c r="BV281" i="3"/>
  <c r="BU281" i="3"/>
  <c r="BT281" i="3"/>
  <c r="BS281" i="3"/>
  <c r="BR281" i="3"/>
  <c r="BQ281" i="3"/>
  <c r="BP281" i="3"/>
  <c r="BO281" i="3"/>
  <c r="BN281" i="3"/>
  <c r="A281" i="3"/>
  <c r="DU280" i="3"/>
  <c r="DT280" i="3"/>
  <c r="DS280" i="3"/>
  <c r="DR280" i="3"/>
  <c r="DQ280" i="3"/>
  <c r="DP280" i="3"/>
  <c r="DO280" i="3"/>
  <c r="DN280" i="3"/>
  <c r="DM280" i="3"/>
  <c r="DL280" i="3"/>
  <c r="DK280" i="3"/>
  <c r="DJ280" i="3"/>
  <c r="DI280" i="3"/>
  <c r="DH280" i="3"/>
  <c r="DG280" i="3"/>
  <c r="DF280" i="3"/>
  <c r="DE280" i="3"/>
  <c r="DD280" i="3"/>
  <c r="DC280" i="3"/>
  <c r="DB280" i="3"/>
  <c r="DA280" i="3"/>
  <c r="CZ280" i="3"/>
  <c r="CY280" i="3"/>
  <c r="CX280" i="3"/>
  <c r="CW280" i="3"/>
  <c r="CV280" i="3"/>
  <c r="CU280" i="3"/>
  <c r="CT280" i="3"/>
  <c r="CS280" i="3"/>
  <c r="CR280" i="3"/>
  <c r="CQ280" i="3"/>
  <c r="CP280" i="3"/>
  <c r="CO280" i="3"/>
  <c r="CN280" i="3"/>
  <c r="CM280" i="3"/>
  <c r="CL280" i="3"/>
  <c r="CK280" i="3"/>
  <c r="CJ280" i="3"/>
  <c r="CI280" i="3"/>
  <c r="CH280" i="3"/>
  <c r="CG280" i="3"/>
  <c r="CF280" i="3"/>
  <c r="CE280" i="3"/>
  <c r="CD280" i="3"/>
  <c r="CC280" i="3"/>
  <c r="CB280" i="3"/>
  <c r="CA280" i="3"/>
  <c r="BZ280" i="3"/>
  <c r="BY280" i="3"/>
  <c r="BX280" i="3"/>
  <c r="BW280" i="3"/>
  <c r="BV280" i="3"/>
  <c r="BU280" i="3"/>
  <c r="BT280" i="3"/>
  <c r="BS280" i="3"/>
  <c r="BR280" i="3"/>
  <c r="BQ280" i="3"/>
  <c r="BP280" i="3"/>
  <c r="BO280" i="3"/>
  <c r="BN280" i="3"/>
  <c r="A280" i="3"/>
  <c r="DU279" i="3"/>
  <c r="DT279" i="3"/>
  <c r="DS279" i="3"/>
  <c r="DR279" i="3"/>
  <c r="DQ279" i="3"/>
  <c r="DP279" i="3"/>
  <c r="DO279" i="3"/>
  <c r="DN279" i="3"/>
  <c r="DM279" i="3"/>
  <c r="DL279" i="3"/>
  <c r="DK279" i="3"/>
  <c r="DJ279" i="3"/>
  <c r="DI279" i="3"/>
  <c r="DH279" i="3"/>
  <c r="DG279" i="3"/>
  <c r="DF279" i="3"/>
  <c r="DE279" i="3"/>
  <c r="DD279" i="3"/>
  <c r="DC279" i="3"/>
  <c r="DB279" i="3"/>
  <c r="DA279" i="3"/>
  <c r="CZ279" i="3"/>
  <c r="CY279" i="3"/>
  <c r="CX279" i="3"/>
  <c r="CW279" i="3"/>
  <c r="CV279" i="3"/>
  <c r="CU279" i="3"/>
  <c r="CT279" i="3"/>
  <c r="CS279" i="3"/>
  <c r="CR279" i="3"/>
  <c r="CQ279" i="3"/>
  <c r="CP279" i="3"/>
  <c r="CO279" i="3"/>
  <c r="CN279" i="3"/>
  <c r="CM279" i="3"/>
  <c r="CL279" i="3"/>
  <c r="CK279" i="3"/>
  <c r="CJ279" i="3"/>
  <c r="CI279" i="3"/>
  <c r="CH279" i="3"/>
  <c r="CG279" i="3"/>
  <c r="CF279" i="3"/>
  <c r="CE279" i="3"/>
  <c r="CD279" i="3"/>
  <c r="CC279" i="3"/>
  <c r="CB279" i="3"/>
  <c r="CA279" i="3"/>
  <c r="BZ279" i="3"/>
  <c r="BY279" i="3"/>
  <c r="BX279" i="3"/>
  <c r="BW279" i="3"/>
  <c r="BV279" i="3"/>
  <c r="BU279" i="3"/>
  <c r="BT279" i="3"/>
  <c r="BS279" i="3"/>
  <c r="BR279" i="3"/>
  <c r="BQ279" i="3"/>
  <c r="BP279" i="3"/>
  <c r="BO279" i="3"/>
  <c r="BN279" i="3"/>
  <c r="A279" i="3"/>
  <c r="DU278" i="3"/>
  <c r="DT278" i="3"/>
  <c r="DS278" i="3"/>
  <c r="DR278" i="3"/>
  <c r="DQ278" i="3"/>
  <c r="DP278" i="3"/>
  <c r="DO278" i="3"/>
  <c r="DN278" i="3"/>
  <c r="DM278" i="3"/>
  <c r="DL278" i="3"/>
  <c r="DK278" i="3"/>
  <c r="DJ278" i="3"/>
  <c r="DI278" i="3"/>
  <c r="DH278" i="3"/>
  <c r="DG278" i="3"/>
  <c r="DF278" i="3"/>
  <c r="DE278" i="3"/>
  <c r="DD278" i="3"/>
  <c r="DC278" i="3"/>
  <c r="DB278" i="3"/>
  <c r="DA278" i="3"/>
  <c r="CZ278" i="3"/>
  <c r="CY278" i="3"/>
  <c r="CX278" i="3"/>
  <c r="CW278" i="3"/>
  <c r="CV278" i="3"/>
  <c r="CU278" i="3"/>
  <c r="CT278" i="3"/>
  <c r="CS278" i="3"/>
  <c r="CR278" i="3"/>
  <c r="CQ278" i="3"/>
  <c r="CP278" i="3"/>
  <c r="CO278" i="3"/>
  <c r="CN278" i="3"/>
  <c r="CM278" i="3"/>
  <c r="CL278" i="3"/>
  <c r="CK278" i="3"/>
  <c r="CJ278" i="3"/>
  <c r="CI278" i="3"/>
  <c r="CH278" i="3"/>
  <c r="CG278" i="3"/>
  <c r="CF278" i="3"/>
  <c r="CE278" i="3"/>
  <c r="CD278" i="3"/>
  <c r="CC278" i="3"/>
  <c r="CB278" i="3"/>
  <c r="CA278" i="3"/>
  <c r="BZ278" i="3"/>
  <c r="BY278" i="3"/>
  <c r="BX278" i="3"/>
  <c r="BW278" i="3"/>
  <c r="BV278" i="3"/>
  <c r="BU278" i="3"/>
  <c r="BT278" i="3"/>
  <c r="BS278" i="3"/>
  <c r="BR278" i="3"/>
  <c r="BQ278" i="3"/>
  <c r="BP278" i="3"/>
  <c r="BO278" i="3"/>
  <c r="BN278" i="3"/>
  <c r="BJ278" i="3"/>
  <c r="BI278" i="3"/>
  <c r="BH278" i="3"/>
  <c r="BG278" i="3"/>
  <c r="BF278" i="3"/>
  <c r="BE278" i="3"/>
  <c r="BD278" i="3"/>
  <c r="BC278" i="3"/>
  <c r="BB278" i="3"/>
  <c r="BA278" i="3"/>
  <c r="AZ278" i="3"/>
  <c r="AY278" i="3"/>
  <c r="AX278" i="3"/>
  <c r="AW278" i="3"/>
  <c r="AV278" i="3"/>
  <c r="AU278" i="3"/>
  <c r="AT278" i="3"/>
  <c r="AS278" i="3"/>
  <c r="AR278" i="3"/>
  <c r="AQ278" i="3"/>
  <c r="AP278" i="3"/>
  <c r="AO278" i="3"/>
  <c r="AN278" i="3"/>
  <c r="AM278" i="3"/>
  <c r="AL278" i="3"/>
  <c r="AK278" i="3"/>
  <c r="AJ278" i="3"/>
  <c r="AI278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A278" i="3"/>
  <c r="DU277" i="3"/>
  <c r="DT277" i="3"/>
  <c r="DS277" i="3"/>
  <c r="DR277" i="3"/>
  <c r="DQ277" i="3"/>
  <c r="DP277" i="3"/>
  <c r="DO277" i="3"/>
  <c r="DN277" i="3"/>
  <c r="DM277" i="3"/>
  <c r="DL277" i="3"/>
  <c r="DK277" i="3"/>
  <c r="DJ277" i="3"/>
  <c r="DI277" i="3"/>
  <c r="DH277" i="3"/>
  <c r="DG277" i="3"/>
  <c r="DF277" i="3"/>
  <c r="DE277" i="3"/>
  <c r="DD277" i="3"/>
  <c r="DC277" i="3"/>
  <c r="DB277" i="3"/>
  <c r="DA277" i="3"/>
  <c r="CZ277" i="3"/>
  <c r="CY277" i="3"/>
  <c r="CX277" i="3"/>
  <c r="CW277" i="3"/>
  <c r="CV277" i="3"/>
  <c r="CU277" i="3"/>
  <c r="CT277" i="3"/>
  <c r="CS277" i="3"/>
  <c r="CR277" i="3"/>
  <c r="CQ277" i="3"/>
  <c r="CP277" i="3"/>
  <c r="CO277" i="3"/>
  <c r="CN277" i="3"/>
  <c r="CM277" i="3"/>
  <c r="CL277" i="3"/>
  <c r="CK277" i="3"/>
  <c r="CJ277" i="3"/>
  <c r="CI277" i="3"/>
  <c r="CH277" i="3"/>
  <c r="CG277" i="3"/>
  <c r="CF277" i="3"/>
  <c r="CE277" i="3"/>
  <c r="CD277" i="3"/>
  <c r="CC277" i="3"/>
  <c r="CB277" i="3"/>
  <c r="CA277" i="3"/>
  <c r="BZ277" i="3"/>
  <c r="BY277" i="3"/>
  <c r="BX277" i="3"/>
  <c r="BW277" i="3"/>
  <c r="BV277" i="3"/>
  <c r="BU277" i="3"/>
  <c r="BT277" i="3"/>
  <c r="BS277" i="3"/>
  <c r="BR277" i="3"/>
  <c r="BQ277" i="3"/>
  <c r="BP277" i="3"/>
  <c r="BO277" i="3"/>
  <c r="BN277" i="3"/>
  <c r="E277" i="3"/>
  <c r="D277" i="3"/>
  <c r="C277" i="3"/>
  <c r="B277" i="3"/>
  <c r="A277" i="3"/>
  <c r="DU276" i="3"/>
  <c r="DT276" i="3"/>
  <c r="DS276" i="3"/>
  <c r="DR276" i="3"/>
  <c r="DQ276" i="3"/>
  <c r="DP276" i="3"/>
  <c r="DO276" i="3"/>
  <c r="DN276" i="3"/>
  <c r="DM276" i="3"/>
  <c r="DL276" i="3"/>
  <c r="DK276" i="3"/>
  <c r="DJ276" i="3"/>
  <c r="DI276" i="3"/>
  <c r="DH276" i="3"/>
  <c r="DG276" i="3"/>
  <c r="DF276" i="3"/>
  <c r="DE276" i="3"/>
  <c r="DD276" i="3"/>
  <c r="DC276" i="3"/>
  <c r="DB276" i="3"/>
  <c r="DA276" i="3"/>
  <c r="CZ276" i="3"/>
  <c r="CY276" i="3"/>
  <c r="CX276" i="3"/>
  <c r="CW276" i="3"/>
  <c r="CV276" i="3"/>
  <c r="CU276" i="3"/>
  <c r="CT276" i="3"/>
  <c r="CS276" i="3"/>
  <c r="CR276" i="3"/>
  <c r="CQ276" i="3"/>
  <c r="CP276" i="3"/>
  <c r="CO276" i="3"/>
  <c r="CN276" i="3"/>
  <c r="CM276" i="3"/>
  <c r="CL276" i="3"/>
  <c r="CK276" i="3"/>
  <c r="CJ276" i="3"/>
  <c r="CI276" i="3"/>
  <c r="CH276" i="3"/>
  <c r="CG276" i="3"/>
  <c r="CF276" i="3"/>
  <c r="CE276" i="3"/>
  <c r="CD276" i="3"/>
  <c r="CC276" i="3"/>
  <c r="CB276" i="3"/>
  <c r="CA276" i="3"/>
  <c r="BZ276" i="3"/>
  <c r="BY276" i="3"/>
  <c r="BX276" i="3"/>
  <c r="BW276" i="3"/>
  <c r="BV276" i="3"/>
  <c r="BU276" i="3"/>
  <c r="BT276" i="3"/>
  <c r="BS276" i="3"/>
  <c r="BR276" i="3"/>
  <c r="BQ276" i="3"/>
  <c r="BP276" i="3"/>
  <c r="BO276" i="3"/>
  <c r="BN276" i="3"/>
  <c r="E276" i="3"/>
  <c r="D276" i="3"/>
  <c r="C276" i="3"/>
  <c r="B276" i="3"/>
  <c r="A276" i="3"/>
  <c r="DU275" i="3"/>
  <c r="DT275" i="3"/>
  <c r="DS275" i="3"/>
  <c r="DR275" i="3"/>
  <c r="DQ275" i="3"/>
  <c r="DP275" i="3"/>
  <c r="DO275" i="3"/>
  <c r="DN275" i="3"/>
  <c r="DM275" i="3"/>
  <c r="DL275" i="3"/>
  <c r="DK275" i="3"/>
  <c r="DJ275" i="3"/>
  <c r="DI275" i="3"/>
  <c r="DH275" i="3"/>
  <c r="DG275" i="3"/>
  <c r="DF275" i="3"/>
  <c r="DE275" i="3"/>
  <c r="DD275" i="3"/>
  <c r="DC275" i="3"/>
  <c r="DB275" i="3"/>
  <c r="DA275" i="3"/>
  <c r="CZ275" i="3"/>
  <c r="CY275" i="3"/>
  <c r="CX275" i="3"/>
  <c r="CW275" i="3"/>
  <c r="CV275" i="3"/>
  <c r="CU275" i="3"/>
  <c r="CT275" i="3"/>
  <c r="CS275" i="3"/>
  <c r="CR275" i="3"/>
  <c r="CQ275" i="3"/>
  <c r="CP275" i="3"/>
  <c r="CO275" i="3"/>
  <c r="CN275" i="3"/>
  <c r="CM275" i="3"/>
  <c r="CL275" i="3"/>
  <c r="CK275" i="3"/>
  <c r="CJ275" i="3"/>
  <c r="CI275" i="3"/>
  <c r="CH275" i="3"/>
  <c r="CG275" i="3"/>
  <c r="CF275" i="3"/>
  <c r="CE275" i="3"/>
  <c r="CD275" i="3"/>
  <c r="CC275" i="3"/>
  <c r="CB275" i="3"/>
  <c r="CA275" i="3"/>
  <c r="BZ275" i="3"/>
  <c r="BY275" i="3"/>
  <c r="BX275" i="3"/>
  <c r="BW275" i="3"/>
  <c r="BV275" i="3"/>
  <c r="BU275" i="3"/>
  <c r="BT275" i="3"/>
  <c r="BS275" i="3"/>
  <c r="BR275" i="3"/>
  <c r="BQ275" i="3"/>
  <c r="BP275" i="3"/>
  <c r="BO275" i="3"/>
  <c r="BN275" i="3"/>
  <c r="E275" i="3"/>
  <c r="D275" i="3"/>
  <c r="C275" i="3"/>
  <c r="A275" i="3"/>
  <c r="DU274" i="3"/>
  <c r="DT274" i="3"/>
  <c r="DS274" i="3"/>
  <c r="DR274" i="3"/>
  <c r="DQ274" i="3"/>
  <c r="DP274" i="3"/>
  <c r="DO274" i="3"/>
  <c r="DN274" i="3"/>
  <c r="DM274" i="3"/>
  <c r="DL274" i="3"/>
  <c r="DK274" i="3"/>
  <c r="DJ274" i="3"/>
  <c r="DI274" i="3"/>
  <c r="DH274" i="3"/>
  <c r="DG274" i="3"/>
  <c r="DF274" i="3"/>
  <c r="DE274" i="3"/>
  <c r="DD274" i="3"/>
  <c r="DC274" i="3"/>
  <c r="DB274" i="3"/>
  <c r="DA274" i="3"/>
  <c r="CZ274" i="3"/>
  <c r="CY274" i="3"/>
  <c r="CX274" i="3"/>
  <c r="CW274" i="3"/>
  <c r="CV274" i="3"/>
  <c r="CU274" i="3"/>
  <c r="CT274" i="3"/>
  <c r="CS274" i="3"/>
  <c r="CR274" i="3"/>
  <c r="CQ274" i="3"/>
  <c r="CP274" i="3"/>
  <c r="CO274" i="3"/>
  <c r="CN274" i="3"/>
  <c r="CM274" i="3"/>
  <c r="CL274" i="3"/>
  <c r="CK274" i="3"/>
  <c r="CJ274" i="3"/>
  <c r="CI274" i="3"/>
  <c r="CH274" i="3"/>
  <c r="CG274" i="3"/>
  <c r="CF274" i="3"/>
  <c r="CE274" i="3"/>
  <c r="CD274" i="3"/>
  <c r="CC274" i="3"/>
  <c r="CB274" i="3"/>
  <c r="CA274" i="3"/>
  <c r="BZ274" i="3"/>
  <c r="BY274" i="3"/>
  <c r="BX274" i="3"/>
  <c r="BW274" i="3"/>
  <c r="BV274" i="3"/>
  <c r="BU274" i="3"/>
  <c r="BT274" i="3"/>
  <c r="BS274" i="3"/>
  <c r="BR274" i="3"/>
  <c r="BQ274" i="3"/>
  <c r="BP274" i="3"/>
  <c r="BO274" i="3"/>
  <c r="BN274" i="3"/>
  <c r="E274" i="3"/>
  <c r="D274" i="3"/>
  <c r="C274" i="3"/>
  <c r="B274" i="3"/>
  <c r="A274" i="3"/>
  <c r="DU273" i="3"/>
  <c r="DT273" i="3"/>
  <c r="DS273" i="3"/>
  <c r="DR273" i="3"/>
  <c r="DQ273" i="3"/>
  <c r="DP273" i="3"/>
  <c r="DO273" i="3"/>
  <c r="DN273" i="3"/>
  <c r="DM273" i="3"/>
  <c r="DL273" i="3"/>
  <c r="DK273" i="3"/>
  <c r="DJ273" i="3"/>
  <c r="DI273" i="3"/>
  <c r="DH273" i="3"/>
  <c r="DG273" i="3"/>
  <c r="DF273" i="3"/>
  <c r="DE273" i="3"/>
  <c r="DD273" i="3"/>
  <c r="DC273" i="3"/>
  <c r="DB273" i="3"/>
  <c r="DA273" i="3"/>
  <c r="CZ273" i="3"/>
  <c r="CY273" i="3"/>
  <c r="CX273" i="3"/>
  <c r="CW273" i="3"/>
  <c r="CV273" i="3"/>
  <c r="CU273" i="3"/>
  <c r="CT273" i="3"/>
  <c r="CS273" i="3"/>
  <c r="CR273" i="3"/>
  <c r="CQ273" i="3"/>
  <c r="CP273" i="3"/>
  <c r="CO273" i="3"/>
  <c r="CN273" i="3"/>
  <c r="CM273" i="3"/>
  <c r="CL273" i="3"/>
  <c r="CK273" i="3"/>
  <c r="CJ273" i="3"/>
  <c r="CI273" i="3"/>
  <c r="CH273" i="3"/>
  <c r="CG273" i="3"/>
  <c r="CF273" i="3"/>
  <c r="CE273" i="3"/>
  <c r="CD273" i="3"/>
  <c r="CC273" i="3"/>
  <c r="CB273" i="3"/>
  <c r="CA273" i="3"/>
  <c r="BZ273" i="3"/>
  <c r="BY273" i="3"/>
  <c r="BX273" i="3"/>
  <c r="BW273" i="3"/>
  <c r="BV273" i="3"/>
  <c r="BU273" i="3"/>
  <c r="BT273" i="3"/>
  <c r="BS273" i="3"/>
  <c r="BR273" i="3"/>
  <c r="BQ273" i="3"/>
  <c r="BP273" i="3"/>
  <c r="BO273" i="3"/>
  <c r="BN273" i="3"/>
  <c r="A273" i="3"/>
  <c r="DU272" i="3"/>
  <c r="DT272" i="3"/>
  <c r="DS272" i="3"/>
  <c r="DR272" i="3"/>
  <c r="DQ272" i="3"/>
  <c r="DP272" i="3"/>
  <c r="DO272" i="3"/>
  <c r="DN272" i="3"/>
  <c r="DM272" i="3"/>
  <c r="DL272" i="3"/>
  <c r="DK272" i="3"/>
  <c r="DJ272" i="3"/>
  <c r="DI272" i="3"/>
  <c r="DH272" i="3"/>
  <c r="DG272" i="3"/>
  <c r="DF272" i="3"/>
  <c r="DE272" i="3"/>
  <c r="DD272" i="3"/>
  <c r="DC272" i="3"/>
  <c r="DB272" i="3"/>
  <c r="DA272" i="3"/>
  <c r="CZ272" i="3"/>
  <c r="CY272" i="3"/>
  <c r="CX272" i="3"/>
  <c r="CW272" i="3"/>
  <c r="CV272" i="3"/>
  <c r="CU272" i="3"/>
  <c r="CT272" i="3"/>
  <c r="CS272" i="3"/>
  <c r="CR272" i="3"/>
  <c r="CQ272" i="3"/>
  <c r="CP272" i="3"/>
  <c r="CO272" i="3"/>
  <c r="CN272" i="3"/>
  <c r="CM272" i="3"/>
  <c r="CL272" i="3"/>
  <c r="CK272" i="3"/>
  <c r="CJ272" i="3"/>
  <c r="CI272" i="3"/>
  <c r="CH272" i="3"/>
  <c r="CG272" i="3"/>
  <c r="CF272" i="3"/>
  <c r="CE272" i="3"/>
  <c r="CD272" i="3"/>
  <c r="CC272" i="3"/>
  <c r="CB272" i="3"/>
  <c r="CA272" i="3"/>
  <c r="BZ272" i="3"/>
  <c r="BY272" i="3"/>
  <c r="BX272" i="3"/>
  <c r="BW272" i="3"/>
  <c r="BV272" i="3"/>
  <c r="BU272" i="3"/>
  <c r="BT272" i="3"/>
  <c r="BS272" i="3"/>
  <c r="BR272" i="3"/>
  <c r="BQ272" i="3"/>
  <c r="BP272" i="3"/>
  <c r="BO272" i="3"/>
  <c r="BN272" i="3"/>
  <c r="E272" i="3"/>
  <c r="D272" i="3"/>
  <c r="C272" i="3"/>
  <c r="B272" i="3"/>
  <c r="A272" i="3"/>
  <c r="DU271" i="3"/>
  <c r="DT271" i="3"/>
  <c r="DS271" i="3"/>
  <c r="DR271" i="3"/>
  <c r="DQ271" i="3"/>
  <c r="DP271" i="3"/>
  <c r="DO271" i="3"/>
  <c r="DN271" i="3"/>
  <c r="DM271" i="3"/>
  <c r="DL271" i="3"/>
  <c r="DK271" i="3"/>
  <c r="DJ271" i="3"/>
  <c r="DI271" i="3"/>
  <c r="DH271" i="3"/>
  <c r="DG271" i="3"/>
  <c r="DF271" i="3"/>
  <c r="DE271" i="3"/>
  <c r="DD271" i="3"/>
  <c r="DC271" i="3"/>
  <c r="DB271" i="3"/>
  <c r="DA271" i="3"/>
  <c r="CZ271" i="3"/>
  <c r="CY271" i="3"/>
  <c r="CX271" i="3"/>
  <c r="CW271" i="3"/>
  <c r="CV271" i="3"/>
  <c r="CU271" i="3"/>
  <c r="CT271" i="3"/>
  <c r="CS271" i="3"/>
  <c r="CR271" i="3"/>
  <c r="CQ271" i="3"/>
  <c r="CP271" i="3"/>
  <c r="CO271" i="3"/>
  <c r="CN271" i="3"/>
  <c r="CM271" i="3"/>
  <c r="CL271" i="3"/>
  <c r="CK271" i="3"/>
  <c r="CJ271" i="3"/>
  <c r="CI271" i="3"/>
  <c r="CH271" i="3"/>
  <c r="CG271" i="3"/>
  <c r="CF271" i="3"/>
  <c r="CE271" i="3"/>
  <c r="CD271" i="3"/>
  <c r="CC271" i="3"/>
  <c r="CB271" i="3"/>
  <c r="CA271" i="3"/>
  <c r="BZ271" i="3"/>
  <c r="BY271" i="3"/>
  <c r="BX271" i="3"/>
  <c r="BW271" i="3"/>
  <c r="BV271" i="3"/>
  <c r="BU271" i="3"/>
  <c r="BT271" i="3"/>
  <c r="BS271" i="3"/>
  <c r="BR271" i="3"/>
  <c r="BQ271" i="3"/>
  <c r="BP271" i="3"/>
  <c r="BO271" i="3"/>
  <c r="BN271" i="3"/>
  <c r="E271" i="3"/>
  <c r="D271" i="3"/>
  <c r="C271" i="3"/>
  <c r="B271" i="3"/>
  <c r="A271" i="3"/>
  <c r="DU270" i="3"/>
  <c r="DT270" i="3"/>
  <c r="DS270" i="3"/>
  <c r="DR270" i="3"/>
  <c r="DQ270" i="3"/>
  <c r="DP270" i="3"/>
  <c r="DO270" i="3"/>
  <c r="DN270" i="3"/>
  <c r="DM270" i="3"/>
  <c r="DL270" i="3"/>
  <c r="DK270" i="3"/>
  <c r="DJ270" i="3"/>
  <c r="DI270" i="3"/>
  <c r="DH270" i="3"/>
  <c r="DG270" i="3"/>
  <c r="DF270" i="3"/>
  <c r="DE270" i="3"/>
  <c r="DD270" i="3"/>
  <c r="DC270" i="3"/>
  <c r="DB270" i="3"/>
  <c r="DA270" i="3"/>
  <c r="CZ270" i="3"/>
  <c r="CY270" i="3"/>
  <c r="CX270" i="3"/>
  <c r="CW270" i="3"/>
  <c r="CV270" i="3"/>
  <c r="CU270" i="3"/>
  <c r="CT270" i="3"/>
  <c r="CS270" i="3"/>
  <c r="CR270" i="3"/>
  <c r="CQ270" i="3"/>
  <c r="CP270" i="3"/>
  <c r="CO270" i="3"/>
  <c r="CN270" i="3"/>
  <c r="CM270" i="3"/>
  <c r="CL270" i="3"/>
  <c r="CK270" i="3"/>
  <c r="CJ270" i="3"/>
  <c r="CI270" i="3"/>
  <c r="CH270" i="3"/>
  <c r="CG270" i="3"/>
  <c r="CF270" i="3"/>
  <c r="CE270" i="3"/>
  <c r="CD270" i="3"/>
  <c r="CC270" i="3"/>
  <c r="CB270" i="3"/>
  <c r="CA270" i="3"/>
  <c r="BZ270" i="3"/>
  <c r="BY270" i="3"/>
  <c r="BX270" i="3"/>
  <c r="BW270" i="3"/>
  <c r="BV270" i="3"/>
  <c r="BU270" i="3"/>
  <c r="BT270" i="3"/>
  <c r="BS270" i="3"/>
  <c r="BR270" i="3"/>
  <c r="BQ270" i="3"/>
  <c r="BP270" i="3"/>
  <c r="BO270" i="3"/>
  <c r="BN270" i="3"/>
  <c r="E270" i="3"/>
  <c r="D270" i="3"/>
  <c r="C270" i="3"/>
  <c r="B270" i="3"/>
  <c r="A270" i="3"/>
  <c r="DU269" i="3"/>
  <c r="DT269" i="3"/>
  <c r="DS269" i="3"/>
  <c r="DR269" i="3"/>
  <c r="DQ269" i="3"/>
  <c r="DP269" i="3"/>
  <c r="DO269" i="3"/>
  <c r="DN269" i="3"/>
  <c r="DM269" i="3"/>
  <c r="DL269" i="3"/>
  <c r="DK269" i="3"/>
  <c r="DJ269" i="3"/>
  <c r="DI269" i="3"/>
  <c r="DH269" i="3"/>
  <c r="DG269" i="3"/>
  <c r="DF269" i="3"/>
  <c r="DE269" i="3"/>
  <c r="DD269" i="3"/>
  <c r="DC269" i="3"/>
  <c r="DB269" i="3"/>
  <c r="DA269" i="3"/>
  <c r="CZ269" i="3"/>
  <c r="CY269" i="3"/>
  <c r="CX269" i="3"/>
  <c r="CW269" i="3"/>
  <c r="CV269" i="3"/>
  <c r="CU269" i="3"/>
  <c r="CT269" i="3"/>
  <c r="CS269" i="3"/>
  <c r="CR269" i="3"/>
  <c r="CQ269" i="3"/>
  <c r="CP269" i="3"/>
  <c r="CO269" i="3"/>
  <c r="CN269" i="3"/>
  <c r="CM269" i="3"/>
  <c r="CL269" i="3"/>
  <c r="CK269" i="3"/>
  <c r="CJ269" i="3"/>
  <c r="CI269" i="3"/>
  <c r="CH269" i="3"/>
  <c r="CG269" i="3"/>
  <c r="CF269" i="3"/>
  <c r="CE269" i="3"/>
  <c r="CD269" i="3"/>
  <c r="CC269" i="3"/>
  <c r="CB269" i="3"/>
  <c r="CA269" i="3"/>
  <c r="BZ269" i="3"/>
  <c r="BY269" i="3"/>
  <c r="BX269" i="3"/>
  <c r="BW269" i="3"/>
  <c r="BV269" i="3"/>
  <c r="BU269" i="3"/>
  <c r="BT269" i="3"/>
  <c r="BS269" i="3"/>
  <c r="BR269" i="3"/>
  <c r="BQ269" i="3"/>
  <c r="BP269" i="3"/>
  <c r="BO269" i="3"/>
  <c r="BN269" i="3"/>
  <c r="E269" i="3"/>
  <c r="D269" i="3"/>
  <c r="C269" i="3"/>
  <c r="B269" i="3"/>
  <c r="A269" i="3"/>
  <c r="DU268" i="3"/>
  <c r="DT268" i="3"/>
  <c r="DS268" i="3"/>
  <c r="DR268" i="3"/>
  <c r="DQ268" i="3"/>
  <c r="DP268" i="3"/>
  <c r="DO268" i="3"/>
  <c r="DN268" i="3"/>
  <c r="DM268" i="3"/>
  <c r="DL268" i="3"/>
  <c r="DK268" i="3"/>
  <c r="DJ268" i="3"/>
  <c r="DI268" i="3"/>
  <c r="DH268" i="3"/>
  <c r="DG268" i="3"/>
  <c r="DF268" i="3"/>
  <c r="DE268" i="3"/>
  <c r="DD268" i="3"/>
  <c r="DC268" i="3"/>
  <c r="DB268" i="3"/>
  <c r="DA268" i="3"/>
  <c r="CZ268" i="3"/>
  <c r="CY268" i="3"/>
  <c r="CX268" i="3"/>
  <c r="CW268" i="3"/>
  <c r="CV268" i="3"/>
  <c r="CU268" i="3"/>
  <c r="CT268" i="3"/>
  <c r="CS268" i="3"/>
  <c r="CR268" i="3"/>
  <c r="CQ268" i="3"/>
  <c r="CP268" i="3"/>
  <c r="CO268" i="3"/>
  <c r="CN268" i="3"/>
  <c r="CM268" i="3"/>
  <c r="CL268" i="3"/>
  <c r="CK268" i="3"/>
  <c r="CJ268" i="3"/>
  <c r="CI268" i="3"/>
  <c r="CH268" i="3"/>
  <c r="CG268" i="3"/>
  <c r="CF268" i="3"/>
  <c r="CE268" i="3"/>
  <c r="CD268" i="3"/>
  <c r="CC268" i="3"/>
  <c r="CB268" i="3"/>
  <c r="CA268" i="3"/>
  <c r="BZ268" i="3"/>
  <c r="BY268" i="3"/>
  <c r="BX268" i="3"/>
  <c r="BW268" i="3"/>
  <c r="BV268" i="3"/>
  <c r="BU268" i="3"/>
  <c r="BT268" i="3"/>
  <c r="BS268" i="3"/>
  <c r="BR268" i="3"/>
  <c r="BQ268" i="3"/>
  <c r="BP268" i="3"/>
  <c r="BO268" i="3"/>
  <c r="BN268" i="3"/>
  <c r="E268" i="3"/>
  <c r="D268" i="3"/>
  <c r="C268" i="3"/>
  <c r="B268" i="3"/>
  <c r="A268" i="3"/>
  <c r="DU267" i="3"/>
  <c r="DT267" i="3"/>
  <c r="DS267" i="3"/>
  <c r="DR267" i="3"/>
  <c r="DQ267" i="3"/>
  <c r="DP267" i="3"/>
  <c r="DO267" i="3"/>
  <c r="DN267" i="3"/>
  <c r="DM267" i="3"/>
  <c r="DL267" i="3"/>
  <c r="DK267" i="3"/>
  <c r="DJ267" i="3"/>
  <c r="DI267" i="3"/>
  <c r="DH267" i="3"/>
  <c r="DG267" i="3"/>
  <c r="DF267" i="3"/>
  <c r="DE267" i="3"/>
  <c r="DD267" i="3"/>
  <c r="DC267" i="3"/>
  <c r="DB267" i="3"/>
  <c r="DA267" i="3"/>
  <c r="CZ267" i="3"/>
  <c r="CY267" i="3"/>
  <c r="CX267" i="3"/>
  <c r="CW267" i="3"/>
  <c r="CV267" i="3"/>
  <c r="CU267" i="3"/>
  <c r="CT267" i="3"/>
  <c r="CS267" i="3"/>
  <c r="CR267" i="3"/>
  <c r="CQ267" i="3"/>
  <c r="CP267" i="3"/>
  <c r="CO267" i="3"/>
  <c r="CN267" i="3"/>
  <c r="CM267" i="3"/>
  <c r="CL267" i="3"/>
  <c r="CK267" i="3"/>
  <c r="CJ267" i="3"/>
  <c r="CI267" i="3"/>
  <c r="CH267" i="3"/>
  <c r="CG267" i="3"/>
  <c r="CF267" i="3"/>
  <c r="CE267" i="3"/>
  <c r="CD267" i="3"/>
  <c r="CC267" i="3"/>
  <c r="CB267" i="3"/>
  <c r="CA267" i="3"/>
  <c r="BZ267" i="3"/>
  <c r="BY267" i="3"/>
  <c r="BX267" i="3"/>
  <c r="BW267" i="3"/>
  <c r="BV267" i="3"/>
  <c r="BU267" i="3"/>
  <c r="BT267" i="3"/>
  <c r="BS267" i="3"/>
  <c r="BR267" i="3"/>
  <c r="BQ267" i="3"/>
  <c r="BP267" i="3"/>
  <c r="BO267" i="3"/>
  <c r="BN267" i="3"/>
  <c r="E267" i="3"/>
  <c r="D267" i="3"/>
  <c r="C267" i="3"/>
  <c r="B267" i="3"/>
  <c r="A267" i="3"/>
  <c r="DU266" i="3"/>
  <c r="DT266" i="3"/>
  <c r="DS266" i="3"/>
  <c r="DR266" i="3"/>
  <c r="DQ266" i="3"/>
  <c r="DP266" i="3"/>
  <c r="DO266" i="3"/>
  <c r="DN266" i="3"/>
  <c r="DM266" i="3"/>
  <c r="DL266" i="3"/>
  <c r="DK266" i="3"/>
  <c r="DJ266" i="3"/>
  <c r="DI266" i="3"/>
  <c r="DH266" i="3"/>
  <c r="DG266" i="3"/>
  <c r="DF266" i="3"/>
  <c r="DE266" i="3"/>
  <c r="DD266" i="3"/>
  <c r="DC266" i="3"/>
  <c r="DB266" i="3"/>
  <c r="DA266" i="3"/>
  <c r="CZ266" i="3"/>
  <c r="CY266" i="3"/>
  <c r="CX266" i="3"/>
  <c r="CW266" i="3"/>
  <c r="CV266" i="3"/>
  <c r="CU266" i="3"/>
  <c r="CT266" i="3"/>
  <c r="CS266" i="3"/>
  <c r="CR266" i="3"/>
  <c r="CQ266" i="3"/>
  <c r="CP266" i="3"/>
  <c r="CO266" i="3"/>
  <c r="CN266" i="3"/>
  <c r="CM266" i="3"/>
  <c r="CL266" i="3"/>
  <c r="CK266" i="3"/>
  <c r="CJ266" i="3"/>
  <c r="CI266" i="3"/>
  <c r="CH266" i="3"/>
  <c r="CG266" i="3"/>
  <c r="CF266" i="3"/>
  <c r="CE266" i="3"/>
  <c r="CD266" i="3"/>
  <c r="CC266" i="3"/>
  <c r="CB266" i="3"/>
  <c r="CA266" i="3"/>
  <c r="BZ266" i="3"/>
  <c r="BY266" i="3"/>
  <c r="BX266" i="3"/>
  <c r="BW266" i="3"/>
  <c r="BV266" i="3"/>
  <c r="BU266" i="3"/>
  <c r="BT266" i="3"/>
  <c r="BS266" i="3"/>
  <c r="BR266" i="3"/>
  <c r="BQ266" i="3"/>
  <c r="BP266" i="3"/>
  <c r="BO266" i="3"/>
  <c r="BN266" i="3"/>
  <c r="DU265" i="3"/>
  <c r="DT265" i="3"/>
  <c r="DS265" i="3"/>
  <c r="DR265" i="3"/>
  <c r="DQ265" i="3"/>
  <c r="DP265" i="3"/>
  <c r="DO265" i="3"/>
  <c r="DN265" i="3"/>
  <c r="DM265" i="3"/>
  <c r="DL265" i="3"/>
  <c r="DK265" i="3"/>
  <c r="DJ265" i="3"/>
  <c r="DI265" i="3"/>
  <c r="DH265" i="3"/>
  <c r="DG265" i="3"/>
  <c r="DF265" i="3"/>
  <c r="DE265" i="3"/>
  <c r="DD265" i="3"/>
  <c r="DC265" i="3"/>
  <c r="DB265" i="3"/>
  <c r="DA265" i="3"/>
  <c r="CZ265" i="3"/>
  <c r="CY265" i="3"/>
  <c r="CX265" i="3"/>
  <c r="CW265" i="3"/>
  <c r="CV265" i="3"/>
  <c r="CU265" i="3"/>
  <c r="CT265" i="3"/>
  <c r="CS265" i="3"/>
  <c r="CR265" i="3"/>
  <c r="CQ265" i="3"/>
  <c r="CP265" i="3"/>
  <c r="CO265" i="3"/>
  <c r="CN265" i="3"/>
  <c r="CM265" i="3"/>
  <c r="CL265" i="3"/>
  <c r="CK265" i="3"/>
  <c r="CJ265" i="3"/>
  <c r="CI265" i="3"/>
  <c r="CH265" i="3"/>
  <c r="CG265" i="3"/>
  <c r="CF265" i="3"/>
  <c r="CE265" i="3"/>
  <c r="CD265" i="3"/>
  <c r="CC265" i="3"/>
  <c r="CB265" i="3"/>
  <c r="CA265" i="3"/>
  <c r="BZ265" i="3"/>
  <c r="BY265" i="3"/>
  <c r="BX265" i="3"/>
  <c r="BW265" i="3"/>
  <c r="BV265" i="3"/>
  <c r="BU265" i="3"/>
  <c r="BT265" i="3"/>
  <c r="BS265" i="3"/>
  <c r="BR265" i="3"/>
  <c r="BQ265" i="3"/>
  <c r="BP265" i="3"/>
  <c r="BO265" i="3"/>
  <c r="BN265" i="3"/>
  <c r="DU264" i="3"/>
  <c r="DT264" i="3"/>
  <c r="DS264" i="3"/>
  <c r="DR264" i="3"/>
  <c r="DQ264" i="3"/>
  <c r="DP264" i="3"/>
  <c r="DO264" i="3"/>
  <c r="DN264" i="3"/>
  <c r="DM264" i="3"/>
  <c r="DL264" i="3"/>
  <c r="DK264" i="3"/>
  <c r="DJ264" i="3"/>
  <c r="DI264" i="3"/>
  <c r="DH264" i="3"/>
  <c r="DG264" i="3"/>
  <c r="DF264" i="3"/>
  <c r="DE264" i="3"/>
  <c r="DD264" i="3"/>
  <c r="DC264" i="3"/>
  <c r="DB264" i="3"/>
  <c r="DA264" i="3"/>
  <c r="CZ264" i="3"/>
  <c r="CY264" i="3"/>
  <c r="CX264" i="3"/>
  <c r="CW264" i="3"/>
  <c r="CV264" i="3"/>
  <c r="CU264" i="3"/>
  <c r="CT264" i="3"/>
  <c r="CS264" i="3"/>
  <c r="CR264" i="3"/>
  <c r="CQ264" i="3"/>
  <c r="CP264" i="3"/>
  <c r="CO264" i="3"/>
  <c r="CN264" i="3"/>
  <c r="CM264" i="3"/>
  <c r="CL264" i="3"/>
  <c r="CK264" i="3"/>
  <c r="CJ264" i="3"/>
  <c r="CI264" i="3"/>
  <c r="CH264" i="3"/>
  <c r="CG264" i="3"/>
  <c r="CF264" i="3"/>
  <c r="CE264" i="3"/>
  <c r="CD264" i="3"/>
  <c r="CC264" i="3"/>
  <c r="CB264" i="3"/>
  <c r="CA264" i="3"/>
  <c r="BZ264" i="3"/>
  <c r="BY264" i="3"/>
  <c r="BX264" i="3"/>
  <c r="BW264" i="3"/>
  <c r="BV264" i="3"/>
  <c r="BU264" i="3"/>
  <c r="BT264" i="3"/>
  <c r="BS264" i="3"/>
  <c r="BR264" i="3"/>
  <c r="BQ264" i="3"/>
  <c r="BP264" i="3"/>
  <c r="BO264" i="3"/>
  <c r="BN264" i="3"/>
  <c r="DU263" i="3"/>
  <c r="DT263" i="3"/>
  <c r="DS263" i="3"/>
  <c r="DR263" i="3"/>
  <c r="DQ263" i="3"/>
  <c r="DP263" i="3"/>
  <c r="DO263" i="3"/>
  <c r="DN263" i="3"/>
  <c r="DM263" i="3"/>
  <c r="DL263" i="3"/>
  <c r="DK263" i="3"/>
  <c r="DJ263" i="3"/>
  <c r="DI263" i="3"/>
  <c r="DH263" i="3"/>
  <c r="DG263" i="3"/>
  <c r="DF263" i="3"/>
  <c r="DE263" i="3"/>
  <c r="DD263" i="3"/>
  <c r="DC263" i="3"/>
  <c r="DB263" i="3"/>
  <c r="DA263" i="3"/>
  <c r="CZ263" i="3"/>
  <c r="CY263" i="3"/>
  <c r="CX263" i="3"/>
  <c r="CW263" i="3"/>
  <c r="CV263" i="3"/>
  <c r="CU263" i="3"/>
  <c r="CT263" i="3"/>
  <c r="CS263" i="3"/>
  <c r="CR263" i="3"/>
  <c r="CQ263" i="3"/>
  <c r="CP263" i="3"/>
  <c r="CO263" i="3"/>
  <c r="CN263" i="3"/>
  <c r="CM263" i="3"/>
  <c r="CL263" i="3"/>
  <c r="CK263" i="3"/>
  <c r="CJ263" i="3"/>
  <c r="CI263" i="3"/>
  <c r="CH263" i="3"/>
  <c r="CG263" i="3"/>
  <c r="CF263" i="3"/>
  <c r="CE263" i="3"/>
  <c r="CD263" i="3"/>
  <c r="CC263" i="3"/>
  <c r="CB263" i="3"/>
  <c r="CA263" i="3"/>
  <c r="BZ263" i="3"/>
  <c r="BY263" i="3"/>
  <c r="BX263" i="3"/>
  <c r="BW263" i="3"/>
  <c r="BV263" i="3"/>
  <c r="BU263" i="3"/>
  <c r="BT263" i="3"/>
  <c r="BS263" i="3"/>
  <c r="BR263" i="3"/>
  <c r="BQ263" i="3"/>
  <c r="BP263" i="3"/>
  <c r="BO263" i="3"/>
  <c r="BN263" i="3"/>
  <c r="D263" i="3"/>
  <c r="A263" i="3"/>
  <c r="DU262" i="3"/>
  <c r="DT262" i="3"/>
  <c r="DS262" i="3"/>
  <c r="DR262" i="3"/>
  <c r="DQ262" i="3"/>
  <c r="DP262" i="3"/>
  <c r="DO262" i="3"/>
  <c r="DN262" i="3"/>
  <c r="DM262" i="3"/>
  <c r="DL262" i="3"/>
  <c r="DK262" i="3"/>
  <c r="DJ262" i="3"/>
  <c r="DI262" i="3"/>
  <c r="DH262" i="3"/>
  <c r="DG262" i="3"/>
  <c r="DF262" i="3"/>
  <c r="DE262" i="3"/>
  <c r="DD262" i="3"/>
  <c r="DC262" i="3"/>
  <c r="DB262" i="3"/>
  <c r="DA262" i="3"/>
  <c r="CZ262" i="3"/>
  <c r="CY262" i="3"/>
  <c r="CX262" i="3"/>
  <c r="CW262" i="3"/>
  <c r="CV262" i="3"/>
  <c r="CU262" i="3"/>
  <c r="CT262" i="3"/>
  <c r="CS262" i="3"/>
  <c r="CR262" i="3"/>
  <c r="CQ262" i="3"/>
  <c r="CP262" i="3"/>
  <c r="CO262" i="3"/>
  <c r="CN262" i="3"/>
  <c r="CM262" i="3"/>
  <c r="CL262" i="3"/>
  <c r="CK262" i="3"/>
  <c r="CJ262" i="3"/>
  <c r="CI262" i="3"/>
  <c r="CH262" i="3"/>
  <c r="CG262" i="3"/>
  <c r="CF262" i="3"/>
  <c r="CE262" i="3"/>
  <c r="CD262" i="3"/>
  <c r="CC262" i="3"/>
  <c r="CB262" i="3"/>
  <c r="CA262" i="3"/>
  <c r="BZ262" i="3"/>
  <c r="BY262" i="3"/>
  <c r="BX262" i="3"/>
  <c r="BW262" i="3"/>
  <c r="BV262" i="3"/>
  <c r="BU262" i="3"/>
  <c r="BT262" i="3"/>
  <c r="BS262" i="3"/>
  <c r="BR262" i="3"/>
  <c r="BQ262" i="3"/>
  <c r="BP262" i="3"/>
  <c r="BO262" i="3"/>
  <c r="BN262" i="3"/>
  <c r="DU261" i="3"/>
  <c r="DT261" i="3"/>
  <c r="DS261" i="3"/>
  <c r="DR261" i="3"/>
  <c r="DQ261" i="3"/>
  <c r="DP261" i="3"/>
  <c r="DO261" i="3"/>
  <c r="DN261" i="3"/>
  <c r="DM261" i="3"/>
  <c r="DL261" i="3"/>
  <c r="DK261" i="3"/>
  <c r="DJ261" i="3"/>
  <c r="DI261" i="3"/>
  <c r="DH261" i="3"/>
  <c r="DG261" i="3"/>
  <c r="DF261" i="3"/>
  <c r="DE261" i="3"/>
  <c r="DD261" i="3"/>
  <c r="DC261" i="3"/>
  <c r="DB261" i="3"/>
  <c r="DA261" i="3"/>
  <c r="CZ261" i="3"/>
  <c r="CY261" i="3"/>
  <c r="CX261" i="3"/>
  <c r="CW261" i="3"/>
  <c r="CV261" i="3"/>
  <c r="CU261" i="3"/>
  <c r="CT261" i="3"/>
  <c r="CS261" i="3"/>
  <c r="CR261" i="3"/>
  <c r="CQ261" i="3"/>
  <c r="CP261" i="3"/>
  <c r="CO261" i="3"/>
  <c r="CN261" i="3"/>
  <c r="CM261" i="3"/>
  <c r="CL261" i="3"/>
  <c r="CK261" i="3"/>
  <c r="CJ261" i="3"/>
  <c r="CI261" i="3"/>
  <c r="CH261" i="3"/>
  <c r="CG261" i="3"/>
  <c r="CF261" i="3"/>
  <c r="CE261" i="3"/>
  <c r="CD261" i="3"/>
  <c r="CC261" i="3"/>
  <c r="CB261" i="3"/>
  <c r="CA261" i="3"/>
  <c r="BZ261" i="3"/>
  <c r="BY261" i="3"/>
  <c r="BX261" i="3"/>
  <c r="BW261" i="3"/>
  <c r="BV261" i="3"/>
  <c r="BU261" i="3"/>
  <c r="BT261" i="3"/>
  <c r="BS261" i="3"/>
  <c r="BR261" i="3"/>
  <c r="BQ261" i="3"/>
  <c r="BP261" i="3"/>
  <c r="BO261" i="3"/>
  <c r="BN261" i="3"/>
  <c r="DU260" i="3"/>
  <c r="DT260" i="3"/>
  <c r="DS260" i="3"/>
  <c r="DR260" i="3"/>
  <c r="DQ260" i="3"/>
  <c r="DP260" i="3"/>
  <c r="DO260" i="3"/>
  <c r="DN260" i="3"/>
  <c r="DM260" i="3"/>
  <c r="DL260" i="3"/>
  <c r="DK260" i="3"/>
  <c r="DJ260" i="3"/>
  <c r="DI260" i="3"/>
  <c r="DH260" i="3"/>
  <c r="DG260" i="3"/>
  <c r="DF260" i="3"/>
  <c r="DE260" i="3"/>
  <c r="DD260" i="3"/>
  <c r="DC260" i="3"/>
  <c r="DB260" i="3"/>
  <c r="DA260" i="3"/>
  <c r="CZ260" i="3"/>
  <c r="CY260" i="3"/>
  <c r="CX260" i="3"/>
  <c r="CW260" i="3"/>
  <c r="CV260" i="3"/>
  <c r="CU260" i="3"/>
  <c r="CT260" i="3"/>
  <c r="CS260" i="3"/>
  <c r="CR260" i="3"/>
  <c r="CQ260" i="3"/>
  <c r="CP260" i="3"/>
  <c r="CO260" i="3"/>
  <c r="CN260" i="3"/>
  <c r="CM260" i="3"/>
  <c r="CL260" i="3"/>
  <c r="CK260" i="3"/>
  <c r="CJ260" i="3"/>
  <c r="CI260" i="3"/>
  <c r="CH260" i="3"/>
  <c r="CG260" i="3"/>
  <c r="CF260" i="3"/>
  <c r="CE260" i="3"/>
  <c r="CD260" i="3"/>
  <c r="CC260" i="3"/>
  <c r="CB260" i="3"/>
  <c r="CA260" i="3"/>
  <c r="BZ260" i="3"/>
  <c r="BY260" i="3"/>
  <c r="BX260" i="3"/>
  <c r="BW260" i="3"/>
  <c r="BV260" i="3"/>
  <c r="BU260" i="3"/>
  <c r="BT260" i="3"/>
  <c r="BS260" i="3"/>
  <c r="BR260" i="3"/>
  <c r="BQ260" i="3"/>
  <c r="BP260" i="3"/>
  <c r="BO260" i="3"/>
  <c r="BN260" i="3"/>
  <c r="DU259" i="3"/>
  <c r="DT259" i="3"/>
  <c r="DS259" i="3"/>
  <c r="DR259" i="3"/>
  <c r="DQ259" i="3"/>
  <c r="DP259" i="3"/>
  <c r="DO259" i="3"/>
  <c r="DN259" i="3"/>
  <c r="DM259" i="3"/>
  <c r="DL259" i="3"/>
  <c r="DK259" i="3"/>
  <c r="DJ259" i="3"/>
  <c r="DI259" i="3"/>
  <c r="DH259" i="3"/>
  <c r="DG259" i="3"/>
  <c r="DF259" i="3"/>
  <c r="DE259" i="3"/>
  <c r="DD259" i="3"/>
  <c r="DC259" i="3"/>
  <c r="DB259" i="3"/>
  <c r="DA259" i="3"/>
  <c r="CZ259" i="3"/>
  <c r="CY259" i="3"/>
  <c r="CX259" i="3"/>
  <c r="CW259" i="3"/>
  <c r="CV259" i="3"/>
  <c r="CU259" i="3"/>
  <c r="CT259" i="3"/>
  <c r="CS259" i="3"/>
  <c r="CR259" i="3"/>
  <c r="CQ259" i="3"/>
  <c r="CP259" i="3"/>
  <c r="CO259" i="3"/>
  <c r="CN259" i="3"/>
  <c r="CM259" i="3"/>
  <c r="CL259" i="3"/>
  <c r="CK259" i="3"/>
  <c r="CJ259" i="3"/>
  <c r="CI259" i="3"/>
  <c r="CH259" i="3"/>
  <c r="CG259" i="3"/>
  <c r="CF259" i="3"/>
  <c r="CE259" i="3"/>
  <c r="CD259" i="3"/>
  <c r="CC259" i="3"/>
  <c r="CB259" i="3"/>
  <c r="CA259" i="3"/>
  <c r="BZ259" i="3"/>
  <c r="BY259" i="3"/>
  <c r="BX259" i="3"/>
  <c r="BW259" i="3"/>
  <c r="BV259" i="3"/>
  <c r="BU259" i="3"/>
  <c r="BT259" i="3"/>
  <c r="BS259" i="3"/>
  <c r="BR259" i="3"/>
  <c r="BQ259" i="3"/>
  <c r="BP259" i="3"/>
  <c r="BO259" i="3"/>
  <c r="BN259" i="3"/>
  <c r="DU258" i="3"/>
  <c r="DT258" i="3"/>
  <c r="DS258" i="3"/>
  <c r="DR258" i="3"/>
  <c r="DQ258" i="3"/>
  <c r="DP258" i="3"/>
  <c r="DO258" i="3"/>
  <c r="DN258" i="3"/>
  <c r="DM258" i="3"/>
  <c r="DL258" i="3"/>
  <c r="DK258" i="3"/>
  <c r="DJ258" i="3"/>
  <c r="DI258" i="3"/>
  <c r="DH258" i="3"/>
  <c r="DG258" i="3"/>
  <c r="DF258" i="3"/>
  <c r="DE258" i="3"/>
  <c r="DD258" i="3"/>
  <c r="DC258" i="3"/>
  <c r="DB258" i="3"/>
  <c r="DA258" i="3"/>
  <c r="CZ258" i="3"/>
  <c r="CY258" i="3"/>
  <c r="CX258" i="3"/>
  <c r="CW258" i="3"/>
  <c r="CV258" i="3"/>
  <c r="CU258" i="3"/>
  <c r="CT258" i="3"/>
  <c r="CS258" i="3"/>
  <c r="CR258" i="3"/>
  <c r="CQ258" i="3"/>
  <c r="CP258" i="3"/>
  <c r="CO258" i="3"/>
  <c r="CN258" i="3"/>
  <c r="CM258" i="3"/>
  <c r="CL258" i="3"/>
  <c r="CK258" i="3"/>
  <c r="CJ258" i="3"/>
  <c r="CI258" i="3"/>
  <c r="CH258" i="3"/>
  <c r="CG258" i="3"/>
  <c r="CF258" i="3"/>
  <c r="CE258" i="3"/>
  <c r="CD258" i="3"/>
  <c r="CC258" i="3"/>
  <c r="CB258" i="3"/>
  <c r="CA258" i="3"/>
  <c r="BZ258" i="3"/>
  <c r="BY258" i="3"/>
  <c r="BX258" i="3"/>
  <c r="BW258" i="3"/>
  <c r="BV258" i="3"/>
  <c r="BU258" i="3"/>
  <c r="BT258" i="3"/>
  <c r="BS258" i="3"/>
  <c r="BR258" i="3"/>
  <c r="BQ258" i="3"/>
  <c r="BP258" i="3"/>
  <c r="BO258" i="3"/>
  <c r="BN258" i="3"/>
  <c r="DU257" i="3"/>
  <c r="DT257" i="3"/>
  <c r="DS257" i="3"/>
  <c r="DR257" i="3"/>
  <c r="DQ257" i="3"/>
  <c r="DP257" i="3"/>
  <c r="DO257" i="3"/>
  <c r="DN257" i="3"/>
  <c r="DM257" i="3"/>
  <c r="DL257" i="3"/>
  <c r="DK257" i="3"/>
  <c r="DJ257" i="3"/>
  <c r="DI257" i="3"/>
  <c r="DH257" i="3"/>
  <c r="DG257" i="3"/>
  <c r="DF257" i="3"/>
  <c r="DE257" i="3"/>
  <c r="DD257" i="3"/>
  <c r="DC257" i="3"/>
  <c r="DB257" i="3"/>
  <c r="DA257" i="3"/>
  <c r="CZ257" i="3"/>
  <c r="CY257" i="3"/>
  <c r="CX257" i="3"/>
  <c r="CW257" i="3"/>
  <c r="CV257" i="3"/>
  <c r="CU257" i="3"/>
  <c r="CT257" i="3"/>
  <c r="CS257" i="3"/>
  <c r="CR257" i="3"/>
  <c r="CQ257" i="3"/>
  <c r="CP257" i="3"/>
  <c r="CO257" i="3"/>
  <c r="CN257" i="3"/>
  <c r="CM257" i="3"/>
  <c r="CL257" i="3"/>
  <c r="CK257" i="3"/>
  <c r="CJ257" i="3"/>
  <c r="CI257" i="3"/>
  <c r="CH257" i="3"/>
  <c r="CG257" i="3"/>
  <c r="CF257" i="3"/>
  <c r="CE257" i="3"/>
  <c r="CD257" i="3"/>
  <c r="CC257" i="3"/>
  <c r="CB257" i="3"/>
  <c r="CA257" i="3"/>
  <c r="BZ257" i="3"/>
  <c r="BY257" i="3"/>
  <c r="BX257" i="3"/>
  <c r="BW257" i="3"/>
  <c r="BV257" i="3"/>
  <c r="BU257" i="3"/>
  <c r="BT257" i="3"/>
  <c r="BS257" i="3"/>
  <c r="BR257" i="3"/>
  <c r="BQ257" i="3"/>
  <c r="BP257" i="3"/>
  <c r="BO257" i="3"/>
  <c r="BN257" i="3"/>
  <c r="DU256" i="3"/>
  <c r="DT256" i="3"/>
  <c r="DS256" i="3"/>
  <c r="DR256" i="3"/>
  <c r="DQ256" i="3"/>
  <c r="DP256" i="3"/>
  <c r="DO256" i="3"/>
  <c r="DN256" i="3"/>
  <c r="DM256" i="3"/>
  <c r="DL256" i="3"/>
  <c r="DK256" i="3"/>
  <c r="DJ256" i="3"/>
  <c r="DI256" i="3"/>
  <c r="DH256" i="3"/>
  <c r="DG256" i="3"/>
  <c r="DF256" i="3"/>
  <c r="DE256" i="3"/>
  <c r="DD256" i="3"/>
  <c r="DC256" i="3"/>
  <c r="DB256" i="3"/>
  <c r="DA256" i="3"/>
  <c r="CZ256" i="3"/>
  <c r="CY256" i="3"/>
  <c r="CX256" i="3"/>
  <c r="CW256" i="3"/>
  <c r="CV256" i="3"/>
  <c r="CU256" i="3"/>
  <c r="CT256" i="3"/>
  <c r="CS256" i="3"/>
  <c r="CR256" i="3"/>
  <c r="CQ256" i="3"/>
  <c r="CP256" i="3"/>
  <c r="CO256" i="3"/>
  <c r="CN256" i="3"/>
  <c r="CM256" i="3"/>
  <c r="CL256" i="3"/>
  <c r="CK256" i="3"/>
  <c r="CJ256" i="3"/>
  <c r="CI256" i="3"/>
  <c r="CH256" i="3"/>
  <c r="CG256" i="3"/>
  <c r="CF256" i="3"/>
  <c r="CE256" i="3"/>
  <c r="CD256" i="3"/>
  <c r="CC256" i="3"/>
  <c r="CB256" i="3"/>
  <c r="CA256" i="3"/>
  <c r="BZ256" i="3"/>
  <c r="BY256" i="3"/>
  <c r="BX256" i="3"/>
  <c r="BW256" i="3"/>
  <c r="BV256" i="3"/>
  <c r="BU256" i="3"/>
  <c r="BT256" i="3"/>
  <c r="BS256" i="3"/>
  <c r="BR256" i="3"/>
  <c r="BQ256" i="3"/>
  <c r="BP256" i="3"/>
  <c r="BO256" i="3"/>
  <c r="BN256" i="3"/>
  <c r="DU255" i="3"/>
  <c r="DT255" i="3"/>
  <c r="DS255" i="3"/>
  <c r="DR255" i="3"/>
  <c r="DQ255" i="3"/>
  <c r="DP255" i="3"/>
  <c r="DO255" i="3"/>
  <c r="DN255" i="3"/>
  <c r="DM255" i="3"/>
  <c r="DL255" i="3"/>
  <c r="DK255" i="3"/>
  <c r="DJ255" i="3"/>
  <c r="DI255" i="3"/>
  <c r="DH255" i="3"/>
  <c r="DG255" i="3"/>
  <c r="DF255" i="3"/>
  <c r="DE255" i="3"/>
  <c r="DD255" i="3"/>
  <c r="DC255" i="3"/>
  <c r="DB255" i="3"/>
  <c r="DA255" i="3"/>
  <c r="CZ255" i="3"/>
  <c r="CY255" i="3"/>
  <c r="CX255" i="3"/>
  <c r="CW255" i="3"/>
  <c r="CV255" i="3"/>
  <c r="CU255" i="3"/>
  <c r="CT255" i="3"/>
  <c r="CS255" i="3"/>
  <c r="CR255" i="3"/>
  <c r="CQ255" i="3"/>
  <c r="CP255" i="3"/>
  <c r="CO255" i="3"/>
  <c r="CN255" i="3"/>
  <c r="CM255" i="3"/>
  <c r="CL255" i="3"/>
  <c r="CK255" i="3"/>
  <c r="CJ255" i="3"/>
  <c r="CI255" i="3"/>
  <c r="CH255" i="3"/>
  <c r="CG255" i="3"/>
  <c r="CF255" i="3"/>
  <c r="CE255" i="3"/>
  <c r="CD255" i="3"/>
  <c r="CC255" i="3"/>
  <c r="CB255" i="3"/>
  <c r="CA255" i="3"/>
  <c r="BZ255" i="3"/>
  <c r="BY255" i="3"/>
  <c r="BX255" i="3"/>
  <c r="BW255" i="3"/>
  <c r="BV255" i="3"/>
  <c r="BU255" i="3"/>
  <c r="BT255" i="3"/>
  <c r="BS255" i="3"/>
  <c r="BR255" i="3"/>
  <c r="BQ255" i="3"/>
  <c r="BP255" i="3"/>
  <c r="BO255" i="3"/>
  <c r="BN255" i="3"/>
  <c r="DU254" i="3"/>
  <c r="DT254" i="3"/>
  <c r="DS254" i="3"/>
  <c r="DR254" i="3"/>
  <c r="DQ254" i="3"/>
  <c r="DP254" i="3"/>
  <c r="DO254" i="3"/>
  <c r="DN254" i="3"/>
  <c r="DM254" i="3"/>
  <c r="DL254" i="3"/>
  <c r="DK254" i="3"/>
  <c r="DJ254" i="3"/>
  <c r="DI254" i="3"/>
  <c r="DH254" i="3"/>
  <c r="DG254" i="3"/>
  <c r="DF254" i="3"/>
  <c r="DE254" i="3"/>
  <c r="DD254" i="3"/>
  <c r="DC254" i="3"/>
  <c r="DB254" i="3"/>
  <c r="DA254" i="3"/>
  <c r="CZ254" i="3"/>
  <c r="CY254" i="3"/>
  <c r="CX254" i="3"/>
  <c r="CW254" i="3"/>
  <c r="CV254" i="3"/>
  <c r="CU254" i="3"/>
  <c r="CT254" i="3"/>
  <c r="CS254" i="3"/>
  <c r="CR254" i="3"/>
  <c r="CQ254" i="3"/>
  <c r="CP254" i="3"/>
  <c r="CO254" i="3"/>
  <c r="CN254" i="3"/>
  <c r="CM254" i="3"/>
  <c r="CL254" i="3"/>
  <c r="CK254" i="3"/>
  <c r="CJ254" i="3"/>
  <c r="CI254" i="3"/>
  <c r="CH254" i="3"/>
  <c r="CG254" i="3"/>
  <c r="CF254" i="3"/>
  <c r="CE254" i="3"/>
  <c r="CD254" i="3"/>
  <c r="CC254" i="3"/>
  <c r="CB254" i="3"/>
  <c r="CA254" i="3"/>
  <c r="BZ254" i="3"/>
  <c r="BY254" i="3"/>
  <c r="BX254" i="3"/>
  <c r="BW254" i="3"/>
  <c r="BV254" i="3"/>
  <c r="BU254" i="3"/>
  <c r="BT254" i="3"/>
  <c r="BS254" i="3"/>
  <c r="BR254" i="3"/>
  <c r="BQ254" i="3"/>
  <c r="BP254" i="3"/>
  <c r="BO254" i="3"/>
  <c r="BN254" i="3"/>
  <c r="DU253" i="3"/>
  <c r="DT253" i="3"/>
  <c r="DS253" i="3"/>
  <c r="DR253" i="3"/>
  <c r="DQ253" i="3"/>
  <c r="DP253" i="3"/>
  <c r="DO253" i="3"/>
  <c r="DN253" i="3"/>
  <c r="DM253" i="3"/>
  <c r="DL253" i="3"/>
  <c r="DK253" i="3"/>
  <c r="DJ253" i="3"/>
  <c r="DI253" i="3"/>
  <c r="DH253" i="3"/>
  <c r="DG253" i="3"/>
  <c r="DF253" i="3"/>
  <c r="DE253" i="3"/>
  <c r="DD253" i="3"/>
  <c r="DC253" i="3"/>
  <c r="DB253" i="3"/>
  <c r="DA253" i="3"/>
  <c r="CZ253" i="3"/>
  <c r="CY253" i="3"/>
  <c r="CX253" i="3"/>
  <c r="CW253" i="3"/>
  <c r="CV253" i="3"/>
  <c r="CU253" i="3"/>
  <c r="CT253" i="3"/>
  <c r="CS253" i="3"/>
  <c r="CR253" i="3"/>
  <c r="CQ253" i="3"/>
  <c r="CP253" i="3"/>
  <c r="CO253" i="3"/>
  <c r="CN253" i="3"/>
  <c r="CM253" i="3"/>
  <c r="CL253" i="3"/>
  <c r="CK253" i="3"/>
  <c r="CJ253" i="3"/>
  <c r="CI253" i="3"/>
  <c r="CH253" i="3"/>
  <c r="CG253" i="3"/>
  <c r="CF253" i="3"/>
  <c r="CE253" i="3"/>
  <c r="CD253" i="3"/>
  <c r="CC253" i="3"/>
  <c r="CB253" i="3"/>
  <c r="CA253" i="3"/>
  <c r="BZ253" i="3"/>
  <c r="BY253" i="3"/>
  <c r="BX253" i="3"/>
  <c r="BW253" i="3"/>
  <c r="BV253" i="3"/>
  <c r="BU253" i="3"/>
  <c r="BT253" i="3"/>
  <c r="BS253" i="3"/>
  <c r="BR253" i="3"/>
  <c r="BQ253" i="3"/>
  <c r="BP253" i="3"/>
  <c r="BO253" i="3"/>
  <c r="BN253" i="3"/>
  <c r="DU252" i="3"/>
  <c r="DT252" i="3"/>
  <c r="DS252" i="3"/>
  <c r="DR252" i="3"/>
  <c r="DQ252" i="3"/>
  <c r="DP252" i="3"/>
  <c r="DO252" i="3"/>
  <c r="DN252" i="3"/>
  <c r="DM252" i="3"/>
  <c r="DL252" i="3"/>
  <c r="DK252" i="3"/>
  <c r="DJ252" i="3"/>
  <c r="DI252" i="3"/>
  <c r="DH252" i="3"/>
  <c r="DG252" i="3"/>
  <c r="DF252" i="3"/>
  <c r="DE252" i="3"/>
  <c r="DD252" i="3"/>
  <c r="DC252" i="3"/>
  <c r="DB252" i="3"/>
  <c r="DA252" i="3"/>
  <c r="CZ252" i="3"/>
  <c r="CY252" i="3"/>
  <c r="CX252" i="3"/>
  <c r="CW252" i="3"/>
  <c r="CV252" i="3"/>
  <c r="CU252" i="3"/>
  <c r="CT252" i="3"/>
  <c r="CS252" i="3"/>
  <c r="CR252" i="3"/>
  <c r="CQ252" i="3"/>
  <c r="CP252" i="3"/>
  <c r="CO252" i="3"/>
  <c r="CN252" i="3"/>
  <c r="CM252" i="3"/>
  <c r="CL252" i="3"/>
  <c r="CK252" i="3"/>
  <c r="CJ252" i="3"/>
  <c r="CI252" i="3"/>
  <c r="CH252" i="3"/>
  <c r="CG252" i="3"/>
  <c r="CF252" i="3"/>
  <c r="CE252" i="3"/>
  <c r="CD252" i="3"/>
  <c r="CC252" i="3"/>
  <c r="CB252" i="3"/>
  <c r="CA252" i="3"/>
  <c r="BZ252" i="3"/>
  <c r="BY252" i="3"/>
  <c r="BX252" i="3"/>
  <c r="BW252" i="3"/>
  <c r="BV252" i="3"/>
  <c r="BU252" i="3"/>
  <c r="BT252" i="3"/>
  <c r="BS252" i="3"/>
  <c r="BR252" i="3"/>
  <c r="BQ252" i="3"/>
  <c r="BP252" i="3"/>
  <c r="BO252" i="3"/>
  <c r="BN252" i="3"/>
  <c r="DU251" i="3"/>
  <c r="DT251" i="3"/>
  <c r="DS251" i="3"/>
  <c r="DR251" i="3"/>
  <c r="DQ251" i="3"/>
  <c r="DP251" i="3"/>
  <c r="DO251" i="3"/>
  <c r="DN251" i="3"/>
  <c r="DM251" i="3"/>
  <c r="DL251" i="3"/>
  <c r="DK251" i="3"/>
  <c r="DJ251" i="3"/>
  <c r="DI251" i="3"/>
  <c r="DH251" i="3"/>
  <c r="DG251" i="3"/>
  <c r="DF251" i="3"/>
  <c r="DE251" i="3"/>
  <c r="DD251" i="3"/>
  <c r="DC251" i="3"/>
  <c r="DB251" i="3"/>
  <c r="DA251" i="3"/>
  <c r="CZ251" i="3"/>
  <c r="CY251" i="3"/>
  <c r="CX251" i="3"/>
  <c r="CW251" i="3"/>
  <c r="CV251" i="3"/>
  <c r="CU251" i="3"/>
  <c r="CT251" i="3"/>
  <c r="CS251" i="3"/>
  <c r="CR251" i="3"/>
  <c r="CQ251" i="3"/>
  <c r="CP251" i="3"/>
  <c r="CO251" i="3"/>
  <c r="CN251" i="3"/>
  <c r="CM251" i="3"/>
  <c r="CL251" i="3"/>
  <c r="CK251" i="3"/>
  <c r="CJ251" i="3"/>
  <c r="CI251" i="3"/>
  <c r="CH251" i="3"/>
  <c r="CG251" i="3"/>
  <c r="CF251" i="3"/>
  <c r="CE251" i="3"/>
  <c r="CD251" i="3"/>
  <c r="CC251" i="3"/>
  <c r="CB251" i="3"/>
  <c r="CA251" i="3"/>
  <c r="BZ251" i="3"/>
  <c r="BY251" i="3"/>
  <c r="BX251" i="3"/>
  <c r="BW251" i="3"/>
  <c r="BV251" i="3"/>
  <c r="BU251" i="3"/>
  <c r="BT251" i="3"/>
  <c r="BS251" i="3"/>
  <c r="BR251" i="3"/>
  <c r="BQ251" i="3"/>
  <c r="BP251" i="3"/>
  <c r="BO251" i="3"/>
  <c r="BN251" i="3"/>
  <c r="DU250" i="3"/>
  <c r="DT250" i="3"/>
  <c r="DS250" i="3"/>
  <c r="DR250" i="3"/>
  <c r="DQ250" i="3"/>
  <c r="DP250" i="3"/>
  <c r="DO250" i="3"/>
  <c r="DN250" i="3"/>
  <c r="DM250" i="3"/>
  <c r="DL250" i="3"/>
  <c r="DK250" i="3"/>
  <c r="DJ250" i="3"/>
  <c r="DI250" i="3"/>
  <c r="DH250" i="3"/>
  <c r="DG250" i="3"/>
  <c r="DF250" i="3"/>
  <c r="DE250" i="3"/>
  <c r="DD250" i="3"/>
  <c r="DC250" i="3"/>
  <c r="DB250" i="3"/>
  <c r="DA250" i="3"/>
  <c r="CZ250" i="3"/>
  <c r="CY250" i="3"/>
  <c r="CX250" i="3"/>
  <c r="CW250" i="3"/>
  <c r="CV250" i="3"/>
  <c r="CU250" i="3"/>
  <c r="CT250" i="3"/>
  <c r="CS250" i="3"/>
  <c r="CR250" i="3"/>
  <c r="CQ250" i="3"/>
  <c r="CP250" i="3"/>
  <c r="CO250" i="3"/>
  <c r="CN250" i="3"/>
  <c r="CM250" i="3"/>
  <c r="CL250" i="3"/>
  <c r="CK250" i="3"/>
  <c r="CJ250" i="3"/>
  <c r="CI250" i="3"/>
  <c r="CH250" i="3"/>
  <c r="CG250" i="3"/>
  <c r="CF250" i="3"/>
  <c r="CE250" i="3"/>
  <c r="CD250" i="3"/>
  <c r="CC250" i="3"/>
  <c r="CB250" i="3"/>
  <c r="CA250" i="3"/>
  <c r="BZ250" i="3"/>
  <c r="BY250" i="3"/>
  <c r="BX250" i="3"/>
  <c r="BW250" i="3"/>
  <c r="BV250" i="3"/>
  <c r="BU250" i="3"/>
  <c r="BT250" i="3"/>
  <c r="BS250" i="3"/>
  <c r="BR250" i="3"/>
  <c r="BQ250" i="3"/>
  <c r="BP250" i="3"/>
  <c r="BO250" i="3"/>
  <c r="BN250" i="3"/>
  <c r="DU249" i="3"/>
  <c r="DT249" i="3"/>
  <c r="DS249" i="3"/>
  <c r="DR249" i="3"/>
  <c r="DQ249" i="3"/>
  <c r="DP249" i="3"/>
  <c r="DO249" i="3"/>
  <c r="DN249" i="3"/>
  <c r="DM249" i="3"/>
  <c r="DL249" i="3"/>
  <c r="DK249" i="3"/>
  <c r="DJ249" i="3"/>
  <c r="DI249" i="3"/>
  <c r="DH249" i="3"/>
  <c r="DG249" i="3"/>
  <c r="DF249" i="3"/>
  <c r="DE249" i="3"/>
  <c r="DD249" i="3"/>
  <c r="DC249" i="3"/>
  <c r="DB249" i="3"/>
  <c r="DA249" i="3"/>
  <c r="CZ249" i="3"/>
  <c r="CY249" i="3"/>
  <c r="CX249" i="3"/>
  <c r="CW249" i="3"/>
  <c r="CV249" i="3"/>
  <c r="CU249" i="3"/>
  <c r="CT249" i="3"/>
  <c r="CS249" i="3"/>
  <c r="CR249" i="3"/>
  <c r="CQ249" i="3"/>
  <c r="CP249" i="3"/>
  <c r="CO249" i="3"/>
  <c r="CN249" i="3"/>
  <c r="CM249" i="3"/>
  <c r="CL249" i="3"/>
  <c r="CK249" i="3"/>
  <c r="CJ249" i="3"/>
  <c r="CI249" i="3"/>
  <c r="CH249" i="3"/>
  <c r="CG249" i="3"/>
  <c r="CF249" i="3"/>
  <c r="CE249" i="3"/>
  <c r="CD249" i="3"/>
  <c r="CC249" i="3"/>
  <c r="CB249" i="3"/>
  <c r="CA249" i="3"/>
  <c r="BZ249" i="3"/>
  <c r="BY249" i="3"/>
  <c r="BX249" i="3"/>
  <c r="BW249" i="3"/>
  <c r="BV249" i="3"/>
  <c r="BU249" i="3"/>
  <c r="BT249" i="3"/>
  <c r="BS249" i="3"/>
  <c r="BR249" i="3"/>
  <c r="BQ249" i="3"/>
  <c r="BP249" i="3"/>
  <c r="BO249" i="3"/>
  <c r="BN249" i="3"/>
  <c r="DU248" i="3"/>
  <c r="DT248" i="3"/>
  <c r="DS248" i="3"/>
  <c r="DR248" i="3"/>
  <c r="DQ248" i="3"/>
  <c r="DP248" i="3"/>
  <c r="DO248" i="3"/>
  <c r="DN248" i="3"/>
  <c r="DM248" i="3"/>
  <c r="DL248" i="3"/>
  <c r="DK248" i="3"/>
  <c r="DJ248" i="3"/>
  <c r="DI248" i="3"/>
  <c r="DH248" i="3"/>
  <c r="DG248" i="3"/>
  <c r="DF248" i="3"/>
  <c r="DE248" i="3"/>
  <c r="DD248" i="3"/>
  <c r="DC248" i="3"/>
  <c r="DB248" i="3"/>
  <c r="DA248" i="3"/>
  <c r="CZ248" i="3"/>
  <c r="CY248" i="3"/>
  <c r="CX248" i="3"/>
  <c r="CW248" i="3"/>
  <c r="CV248" i="3"/>
  <c r="CU248" i="3"/>
  <c r="CT248" i="3"/>
  <c r="CS248" i="3"/>
  <c r="CR248" i="3"/>
  <c r="CQ248" i="3"/>
  <c r="CP248" i="3"/>
  <c r="CO248" i="3"/>
  <c r="CN248" i="3"/>
  <c r="CM248" i="3"/>
  <c r="CL248" i="3"/>
  <c r="CK248" i="3"/>
  <c r="CJ248" i="3"/>
  <c r="CI248" i="3"/>
  <c r="CH248" i="3"/>
  <c r="CG248" i="3"/>
  <c r="CF248" i="3"/>
  <c r="CE248" i="3"/>
  <c r="CD248" i="3"/>
  <c r="CC248" i="3"/>
  <c r="CB248" i="3"/>
  <c r="CA248" i="3"/>
  <c r="BZ248" i="3"/>
  <c r="BY248" i="3"/>
  <c r="BX248" i="3"/>
  <c r="BW248" i="3"/>
  <c r="BV248" i="3"/>
  <c r="BU248" i="3"/>
  <c r="BT248" i="3"/>
  <c r="BS248" i="3"/>
  <c r="BR248" i="3"/>
  <c r="BQ248" i="3"/>
  <c r="BP248" i="3"/>
  <c r="BO248" i="3"/>
  <c r="BN248" i="3"/>
  <c r="DU247" i="3"/>
  <c r="DT247" i="3"/>
  <c r="DS247" i="3"/>
  <c r="DR247" i="3"/>
  <c r="DQ247" i="3"/>
  <c r="DP247" i="3"/>
  <c r="DO247" i="3"/>
  <c r="DN247" i="3"/>
  <c r="DM247" i="3"/>
  <c r="DL247" i="3"/>
  <c r="DK247" i="3"/>
  <c r="DJ247" i="3"/>
  <c r="DI247" i="3"/>
  <c r="DH247" i="3"/>
  <c r="DG247" i="3"/>
  <c r="DF247" i="3"/>
  <c r="DE247" i="3"/>
  <c r="DD247" i="3"/>
  <c r="DC247" i="3"/>
  <c r="DB247" i="3"/>
  <c r="DA247" i="3"/>
  <c r="CZ247" i="3"/>
  <c r="CY247" i="3"/>
  <c r="CX247" i="3"/>
  <c r="CW247" i="3"/>
  <c r="CV247" i="3"/>
  <c r="CU247" i="3"/>
  <c r="CT247" i="3"/>
  <c r="CS247" i="3"/>
  <c r="CR247" i="3"/>
  <c r="CQ247" i="3"/>
  <c r="CP247" i="3"/>
  <c r="CO247" i="3"/>
  <c r="CN247" i="3"/>
  <c r="CM247" i="3"/>
  <c r="CL247" i="3"/>
  <c r="CK247" i="3"/>
  <c r="CJ247" i="3"/>
  <c r="CI247" i="3"/>
  <c r="CH247" i="3"/>
  <c r="CG247" i="3"/>
  <c r="CF247" i="3"/>
  <c r="CE247" i="3"/>
  <c r="CD247" i="3"/>
  <c r="CC247" i="3"/>
  <c r="CB247" i="3"/>
  <c r="CA247" i="3"/>
  <c r="BZ247" i="3"/>
  <c r="BY247" i="3"/>
  <c r="BX247" i="3"/>
  <c r="BW247" i="3"/>
  <c r="BV247" i="3"/>
  <c r="BU247" i="3"/>
  <c r="BT247" i="3"/>
  <c r="BS247" i="3"/>
  <c r="BR247" i="3"/>
  <c r="BQ247" i="3"/>
  <c r="BP247" i="3"/>
  <c r="BO247" i="3"/>
  <c r="BN247" i="3"/>
  <c r="DU246" i="3"/>
  <c r="DT246" i="3"/>
  <c r="DS246" i="3"/>
  <c r="DR246" i="3"/>
  <c r="DQ246" i="3"/>
  <c r="DP246" i="3"/>
  <c r="DO246" i="3"/>
  <c r="DN246" i="3"/>
  <c r="DM246" i="3"/>
  <c r="DL246" i="3"/>
  <c r="DK246" i="3"/>
  <c r="DJ246" i="3"/>
  <c r="DI246" i="3"/>
  <c r="DH246" i="3"/>
  <c r="DG246" i="3"/>
  <c r="DF246" i="3"/>
  <c r="DE246" i="3"/>
  <c r="DD246" i="3"/>
  <c r="DC246" i="3"/>
  <c r="DB246" i="3"/>
  <c r="DA246" i="3"/>
  <c r="CZ246" i="3"/>
  <c r="CY246" i="3"/>
  <c r="CX246" i="3"/>
  <c r="CW246" i="3"/>
  <c r="CV246" i="3"/>
  <c r="CU246" i="3"/>
  <c r="CT246" i="3"/>
  <c r="CS246" i="3"/>
  <c r="CR246" i="3"/>
  <c r="CQ246" i="3"/>
  <c r="CP246" i="3"/>
  <c r="CO246" i="3"/>
  <c r="CN246" i="3"/>
  <c r="CM246" i="3"/>
  <c r="CL246" i="3"/>
  <c r="CK246" i="3"/>
  <c r="CJ246" i="3"/>
  <c r="CI246" i="3"/>
  <c r="CH246" i="3"/>
  <c r="CG246" i="3"/>
  <c r="CF246" i="3"/>
  <c r="CE246" i="3"/>
  <c r="CD246" i="3"/>
  <c r="CC246" i="3"/>
  <c r="CB246" i="3"/>
  <c r="CA246" i="3"/>
  <c r="BZ246" i="3"/>
  <c r="BY246" i="3"/>
  <c r="BX246" i="3"/>
  <c r="BW246" i="3"/>
  <c r="BV246" i="3"/>
  <c r="BU246" i="3"/>
  <c r="BT246" i="3"/>
  <c r="BS246" i="3"/>
  <c r="BR246" i="3"/>
  <c r="BQ246" i="3"/>
  <c r="BP246" i="3"/>
  <c r="BO246" i="3"/>
  <c r="BN246" i="3"/>
  <c r="DU245" i="3"/>
  <c r="DT245" i="3"/>
  <c r="DS245" i="3"/>
  <c r="DR245" i="3"/>
  <c r="DQ245" i="3"/>
  <c r="DP245" i="3"/>
  <c r="DO245" i="3"/>
  <c r="DN245" i="3"/>
  <c r="DM245" i="3"/>
  <c r="DL245" i="3"/>
  <c r="DK245" i="3"/>
  <c r="DJ245" i="3"/>
  <c r="DI245" i="3"/>
  <c r="DH245" i="3"/>
  <c r="DG245" i="3"/>
  <c r="DF245" i="3"/>
  <c r="DE245" i="3"/>
  <c r="DD245" i="3"/>
  <c r="DC245" i="3"/>
  <c r="DB245" i="3"/>
  <c r="DA245" i="3"/>
  <c r="CZ245" i="3"/>
  <c r="CY245" i="3"/>
  <c r="CX245" i="3"/>
  <c r="CW245" i="3"/>
  <c r="CV245" i="3"/>
  <c r="CU245" i="3"/>
  <c r="CT245" i="3"/>
  <c r="CS245" i="3"/>
  <c r="CR245" i="3"/>
  <c r="CQ245" i="3"/>
  <c r="CP245" i="3"/>
  <c r="CO245" i="3"/>
  <c r="CN245" i="3"/>
  <c r="CM245" i="3"/>
  <c r="CL245" i="3"/>
  <c r="CK245" i="3"/>
  <c r="CJ245" i="3"/>
  <c r="CI245" i="3"/>
  <c r="CH245" i="3"/>
  <c r="CG245" i="3"/>
  <c r="CF245" i="3"/>
  <c r="CE245" i="3"/>
  <c r="CD245" i="3"/>
  <c r="CC245" i="3"/>
  <c r="CB245" i="3"/>
  <c r="CA245" i="3"/>
  <c r="BZ245" i="3"/>
  <c r="BY245" i="3"/>
  <c r="BX245" i="3"/>
  <c r="BW245" i="3"/>
  <c r="BV245" i="3"/>
  <c r="BU245" i="3"/>
  <c r="BT245" i="3"/>
  <c r="BS245" i="3"/>
  <c r="BR245" i="3"/>
  <c r="BQ245" i="3"/>
  <c r="BP245" i="3"/>
  <c r="BO245" i="3"/>
  <c r="BN245" i="3"/>
  <c r="DU244" i="3"/>
  <c r="DT244" i="3"/>
  <c r="DS244" i="3"/>
  <c r="DR244" i="3"/>
  <c r="DQ244" i="3"/>
  <c r="DP244" i="3"/>
  <c r="DO244" i="3"/>
  <c r="DN244" i="3"/>
  <c r="DM244" i="3"/>
  <c r="DL244" i="3"/>
  <c r="DK244" i="3"/>
  <c r="DJ244" i="3"/>
  <c r="DI244" i="3"/>
  <c r="DH244" i="3"/>
  <c r="DG244" i="3"/>
  <c r="DF244" i="3"/>
  <c r="DE244" i="3"/>
  <c r="DD244" i="3"/>
  <c r="DC244" i="3"/>
  <c r="DB244" i="3"/>
  <c r="DA244" i="3"/>
  <c r="CZ244" i="3"/>
  <c r="CY244" i="3"/>
  <c r="CX244" i="3"/>
  <c r="CW244" i="3"/>
  <c r="CV244" i="3"/>
  <c r="CU244" i="3"/>
  <c r="CT244" i="3"/>
  <c r="CS244" i="3"/>
  <c r="CR244" i="3"/>
  <c r="CQ244" i="3"/>
  <c r="CP244" i="3"/>
  <c r="CO244" i="3"/>
  <c r="CN244" i="3"/>
  <c r="CM244" i="3"/>
  <c r="CL244" i="3"/>
  <c r="CK244" i="3"/>
  <c r="CJ244" i="3"/>
  <c r="CI244" i="3"/>
  <c r="CH244" i="3"/>
  <c r="CG244" i="3"/>
  <c r="CF244" i="3"/>
  <c r="CE244" i="3"/>
  <c r="CD244" i="3"/>
  <c r="CC244" i="3"/>
  <c r="CB244" i="3"/>
  <c r="CA244" i="3"/>
  <c r="BZ244" i="3"/>
  <c r="BY244" i="3"/>
  <c r="BX244" i="3"/>
  <c r="BW244" i="3"/>
  <c r="BV244" i="3"/>
  <c r="BU244" i="3"/>
  <c r="BT244" i="3"/>
  <c r="BS244" i="3"/>
  <c r="BR244" i="3"/>
  <c r="BQ244" i="3"/>
  <c r="BP244" i="3"/>
  <c r="BO244" i="3"/>
  <c r="BN244" i="3"/>
  <c r="DU243" i="3"/>
  <c r="DT243" i="3"/>
  <c r="DS243" i="3"/>
  <c r="DR243" i="3"/>
  <c r="DQ243" i="3"/>
  <c r="DP243" i="3"/>
  <c r="DO243" i="3"/>
  <c r="DN243" i="3"/>
  <c r="DM243" i="3"/>
  <c r="DL243" i="3"/>
  <c r="DK243" i="3"/>
  <c r="DJ243" i="3"/>
  <c r="DI243" i="3"/>
  <c r="DH243" i="3"/>
  <c r="DG243" i="3"/>
  <c r="DF243" i="3"/>
  <c r="DE243" i="3"/>
  <c r="DD243" i="3"/>
  <c r="DC243" i="3"/>
  <c r="DB243" i="3"/>
  <c r="DA243" i="3"/>
  <c r="CZ243" i="3"/>
  <c r="CY243" i="3"/>
  <c r="CX243" i="3"/>
  <c r="CW243" i="3"/>
  <c r="CV243" i="3"/>
  <c r="CU243" i="3"/>
  <c r="CT243" i="3"/>
  <c r="CS243" i="3"/>
  <c r="CR243" i="3"/>
  <c r="CQ243" i="3"/>
  <c r="CP243" i="3"/>
  <c r="CO243" i="3"/>
  <c r="CN243" i="3"/>
  <c r="CM243" i="3"/>
  <c r="CL243" i="3"/>
  <c r="CK243" i="3"/>
  <c r="CJ243" i="3"/>
  <c r="CI243" i="3"/>
  <c r="CH243" i="3"/>
  <c r="CG243" i="3"/>
  <c r="CF243" i="3"/>
  <c r="CE243" i="3"/>
  <c r="CD243" i="3"/>
  <c r="CC243" i="3"/>
  <c r="CB243" i="3"/>
  <c r="CA243" i="3"/>
  <c r="BZ243" i="3"/>
  <c r="BY243" i="3"/>
  <c r="BX243" i="3"/>
  <c r="BW243" i="3"/>
  <c r="BV243" i="3"/>
  <c r="BU243" i="3"/>
  <c r="BT243" i="3"/>
  <c r="BS243" i="3"/>
  <c r="BR243" i="3"/>
  <c r="BQ243" i="3"/>
  <c r="BP243" i="3"/>
  <c r="BO243" i="3"/>
  <c r="BN243" i="3"/>
  <c r="DU242" i="3"/>
  <c r="DT242" i="3"/>
  <c r="DS242" i="3"/>
  <c r="DR242" i="3"/>
  <c r="DQ242" i="3"/>
  <c r="DP242" i="3"/>
  <c r="DO242" i="3"/>
  <c r="DN242" i="3"/>
  <c r="DM242" i="3"/>
  <c r="DL242" i="3"/>
  <c r="DK242" i="3"/>
  <c r="DJ242" i="3"/>
  <c r="DI242" i="3"/>
  <c r="DH242" i="3"/>
  <c r="DG242" i="3"/>
  <c r="DF242" i="3"/>
  <c r="DE242" i="3"/>
  <c r="DD242" i="3"/>
  <c r="DC242" i="3"/>
  <c r="DB242" i="3"/>
  <c r="DA242" i="3"/>
  <c r="CZ242" i="3"/>
  <c r="CY242" i="3"/>
  <c r="CX242" i="3"/>
  <c r="CW242" i="3"/>
  <c r="CV242" i="3"/>
  <c r="CU242" i="3"/>
  <c r="CT242" i="3"/>
  <c r="CS242" i="3"/>
  <c r="CR242" i="3"/>
  <c r="CQ242" i="3"/>
  <c r="CP242" i="3"/>
  <c r="CO242" i="3"/>
  <c r="CN242" i="3"/>
  <c r="CM242" i="3"/>
  <c r="CL242" i="3"/>
  <c r="CK242" i="3"/>
  <c r="CJ242" i="3"/>
  <c r="CI242" i="3"/>
  <c r="CH242" i="3"/>
  <c r="CG242" i="3"/>
  <c r="CF242" i="3"/>
  <c r="CE242" i="3"/>
  <c r="CD242" i="3"/>
  <c r="CC242" i="3"/>
  <c r="CB242" i="3"/>
  <c r="CA242" i="3"/>
  <c r="BZ242" i="3"/>
  <c r="BY242" i="3"/>
  <c r="BX242" i="3"/>
  <c r="BW242" i="3"/>
  <c r="BV242" i="3"/>
  <c r="BU242" i="3"/>
  <c r="BT242" i="3"/>
  <c r="BS242" i="3"/>
  <c r="BR242" i="3"/>
  <c r="BQ242" i="3"/>
  <c r="BP242" i="3"/>
  <c r="BO242" i="3"/>
  <c r="BN242" i="3"/>
  <c r="DU241" i="3"/>
  <c r="DT241" i="3"/>
  <c r="DS241" i="3"/>
  <c r="DR241" i="3"/>
  <c r="DQ241" i="3"/>
  <c r="DP241" i="3"/>
  <c r="DO241" i="3"/>
  <c r="DN241" i="3"/>
  <c r="DM241" i="3"/>
  <c r="DL241" i="3"/>
  <c r="DK241" i="3"/>
  <c r="DJ241" i="3"/>
  <c r="DI241" i="3"/>
  <c r="DH241" i="3"/>
  <c r="DG241" i="3"/>
  <c r="DF241" i="3"/>
  <c r="DE241" i="3"/>
  <c r="DD241" i="3"/>
  <c r="DC241" i="3"/>
  <c r="DB241" i="3"/>
  <c r="DA241" i="3"/>
  <c r="CZ241" i="3"/>
  <c r="CY241" i="3"/>
  <c r="CX241" i="3"/>
  <c r="CW241" i="3"/>
  <c r="CV241" i="3"/>
  <c r="CU241" i="3"/>
  <c r="CT241" i="3"/>
  <c r="CS241" i="3"/>
  <c r="CR241" i="3"/>
  <c r="CQ241" i="3"/>
  <c r="CP241" i="3"/>
  <c r="CO241" i="3"/>
  <c r="CN241" i="3"/>
  <c r="CM241" i="3"/>
  <c r="CL241" i="3"/>
  <c r="CK241" i="3"/>
  <c r="CJ241" i="3"/>
  <c r="CI241" i="3"/>
  <c r="CH241" i="3"/>
  <c r="CG241" i="3"/>
  <c r="CF241" i="3"/>
  <c r="CE241" i="3"/>
  <c r="CD241" i="3"/>
  <c r="CC241" i="3"/>
  <c r="CB241" i="3"/>
  <c r="CA241" i="3"/>
  <c r="BZ241" i="3"/>
  <c r="BY241" i="3"/>
  <c r="BX241" i="3"/>
  <c r="BW241" i="3"/>
  <c r="BV241" i="3"/>
  <c r="BU241" i="3"/>
  <c r="BT241" i="3"/>
  <c r="BS241" i="3"/>
  <c r="BR241" i="3"/>
  <c r="BQ241" i="3"/>
  <c r="BP241" i="3"/>
  <c r="BO241" i="3"/>
  <c r="BN241" i="3"/>
  <c r="DU240" i="3"/>
  <c r="DT240" i="3"/>
  <c r="DS240" i="3"/>
  <c r="DR240" i="3"/>
  <c r="DQ240" i="3"/>
  <c r="DP240" i="3"/>
  <c r="DO240" i="3"/>
  <c r="DN240" i="3"/>
  <c r="DM240" i="3"/>
  <c r="DL240" i="3"/>
  <c r="DK240" i="3"/>
  <c r="DJ240" i="3"/>
  <c r="DI240" i="3"/>
  <c r="DH240" i="3"/>
  <c r="DG240" i="3"/>
  <c r="DF240" i="3"/>
  <c r="DE240" i="3"/>
  <c r="DD240" i="3"/>
  <c r="DC240" i="3"/>
  <c r="DB240" i="3"/>
  <c r="DA240" i="3"/>
  <c r="CZ240" i="3"/>
  <c r="CY240" i="3"/>
  <c r="CX240" i="3"/>
  <c r="CW240" i="3"/>
  <c r="CV240" i="3"/>
  <c r="CU240" i="3"/>
  <c r="CT240" i="3"/>
  <c r="CS240" i="3"/>
  <c r="CR240" i="3"/>
  <c r="CQ240" i="3"/>
  <c r="CP240" i="3"/>
  <c r="CO240" i="3"/>
  <c r="CN240" i="3"/>
  <c r="CM240" i="3"/>
  <c r="CL240" i="3"/>
  <c r="CK240" i="3"/>
  <c r="CJ240" i="3"/>
  <c r="CI240" i="3"/>
  <c r="CH240" i="3"/>
  <c r="CG240" i="3"/>
  <c r="CF240" i="3"/>
  <c r="CE240" i="3"/>
  <c r="CD240" i="3"/>
  <c r="CC240" i="3"/>
  <c r="CB240" i="3"/>
  <c r="CA240" i="3"/>
  <c r="BZ240" i="3"/>
  <c r="BY240" i="3"/>
  <c r="BX240" i="3"/>
  <c r="BW240" i="3"/>
  <c r="BV240" i="3"/>
  <c r="BU240" i="3"/>
  <c r="BT240" i="3"/>
  <c r="BS240" i="3"/>
  <c r="BR240" i="3"/>
  <c r="BQ240" i="3"/>
  <c r="BP240" i="3"/>
  <c r="BO240" i="3"/>
  <c r="BN240" i="3"/>
  <c r="DU239" i="3"/>
  <c r="DT239" i="3"/>
  <c r="DS239" i="3"/>
  <c r="DR239" i="3"/>
  <c r="DQ239" i="3"/>
  <c r="DP239" i="3"/>
  <c r="DO239" i="3"/>
  <c r="DN239" i="3"/>
  <c r="DM239" i="3"/>
  <c r="DL239" i="3"/>
  <c r="DK239" i="3"/>
  <c r="DJ239" i="3"/>
  <c r="DI239" i="3"/>
  <c r="DH239" i="3"/>
  <c r="DG239" i="3"/>
  <c r="DF239" i="3"/>
  <c r="DE239" i="3"/>
  <c r="DD239" i="3"/>
  <c r="DC239" i="3"/>
  <c r="DB239" i="3"/>
  <c r="DA239" i="3"/>
  <c r="CZ239" i="3"/>
  <c r="CY239" i="3"/>
  <c r="CX239" i="3"/>
  <c r="CW239" i="3"/>
  <c r="CV239" i="3"/>
  <c r="CU239" i="3"/>
  <c r="CT239" i="3"/>
  <c r="CS239" i="3"/>
  <c r="CR239" i="3"/>
  <c r="CQ239" i="3"/>
  <c r="CP239" i="3"/>
  <c r="CO239" i="3"/>
  <c r="CN239" i="3"/>
  <c r="CM239" i="3"/>
  <c r="CL239" i="3"/>
  <c r="CK239" i="3"/>
  <c r="CJ239" i="3"/>
  <c r="CI239" i="3"/>
  <c r="CH239" i="3"/>
  <c r="CG239" i="3"/>
  <c r="CF239" i="3"/>
  <c r="CE239" i="3"/>
  <c r="CD239" i="3"/>
  <c r="CC239" i="3"/>
  <c r="CB239" i="3"/>
  <c r="CA239" i="3"/>
  <c r="BZ239" i="3"/>
  <c r="BY239" i="3"/>
  <c r="BX239" i="3"/>
  <c r="BW239" i="3"/>
  <c r="BV239" i="3"/>
  <c r="BU239" i="3"/>
  <c r="BT239" i="3"/>
  <c r="BS239" i="3"/>
  <c r="BR239" i="3"/>
  <c r="BQ239" i="3"/>
  <c r="BP239" i="3"/>
  <c r="BO239" i="3"/>
  <c r="BN239" i="3"/>
  <c r="DU238" i="3"/>
  <c r="DT238" i="3"/>
  <c r="DS238" i="3"/>
  <c r="DR238" i="3"/>
  <c r="DQ238" i="3"/>
  <c r="DP238" i="3"/>
  <c r="DO238" i="3"/>
  <c r="DN238" i="3"/>
  <c r="DM238" i="3"/>
  <c r="DL238" i="3"/>
  <c r="DK238" i="3"/>
  <c r="DJ238" i="3"/>
  <c r="DI238" i="3"/>
  <c r="DH238" i="3"/>
  <c r="DG238" i="3"/>
  <c r="DF238" i="3"/>
  <c r="DE238" i="3"/>
  <c r="DD238" i="3"/>
  <c r="DC238" i="3"/>
  <c r="DB238" i="3"/>
  <c r="DA238" i="3"/>
  <c r="CZ238" i="3"/>
  <c r="CY238" i="3"/>
  <c r="CX238" i="3"/>
  <c r="CW238" i="3"/>
  <c r="CV238" i="3"/>
  <c r="CU238" i="3"/>
  <c r="CT238" i="3"/>
  <c r="CS238" i="3"/>
  <c r="CR238" i="3"/>
  <c r="CQ238" i="3"/>
  <c r="CP238" i="3"/>
  <c r="CO238" i="3"/>
  <c r="CN238" i="3"/>
  <c r="CM238" i="3"/>
  <c r="CL238" i="3"/>
  <c r="CK238" i="3"/>
  <c r="CJ238" i="3"/>
  <c r="CI238" i="3"/>
  <c r="CH238" i="3"/>
  <c r="CG238" i="3"/>
  <c r="CF238" i="3"/>
  <c r="CE238" i="3"/>
  <c r="CD238" i="3"/>
  <c r="CC238" i="3"/>
  <c r="CB238" i="3"/>
  <c r="CA238" i="3"/>
  <c r="BZ238" i="3"/>
  <c r="BY238" i="3"/>
  <c r="BX238" i="3"/>
  <c r="BW238" i="3"/>
  <c r="BV238" i="3"/>
  <c r="BU238" i="3"/>
  <c r="BT238" i="3"/>
  <c r="BS238" i="3"/>
  <c r="BR238" i="3"/>
  <c r="BQ238" i="3"/>
  <c r="BP238" i="3"/>
  <c r="BO238" i="3"/>
  <c r="BN238" i="3"/>
  <c r="DU237" i="3"/>
  <c r="DT237" i="3"/>
  <c r="DS237" i="3"/>
  <c r="DR237" i="3"/>
  <c r="DQ237" i="3"/>
  <c r="DP237" i="3"/>
  <c r="DO237" i="3"/>
  <c r="DN237" i="3"/>
  <c r="DM237" i="3"/>
  <c r="DL237" i="3"/>
  <c r="DK237" i="3"/>
  <c r="DJ237" i="3"/>
  <c r="DI237" i="3"/>
  <c r="DH237" i="3"/>
  <c r="DG237" i="3"/>
  <c r="DF237" i="3"/>
  <c r="DE237" i="3"/>
  <c r="DD237" i="3"/>
  <c r="DC237" i="3"/>
  <c r="DB237" i="3"/>
  <c r="DA237" i="3"/>
  <c r="CZ237" i="3"/>
  <c r="CY237" i="3"/>
  <c r="CX237" i="3"/>
  <c r="CW237" i="3"/>
  <c r="CV237" i="3"/>
  <c r="CU237" i="3"/>
  <c r="CT237" i="3"/>
  <c r="CS237" i="3"/>
  <c r="CR237" i="3"/>
  <c r="CQ237" i="3"/>
  <c r="CP237" i="3"/>
  <c r="CO237" i="3"/>
  <c r="CN237" i="3"/>
  <c r="CM237" i="3"/>
  <c r="CL237" i="3"/>
  <c r="CK237" i="3"/>
  <c r="CJ237" i="3"/>
  <c r="CI237" i="3"/>
  <c r="CH237" i="3"/>
  <c r="CG237" i="3"/>
  <c r="CF237" i="3"/>
  <c r="CE237" i="3"/>
  <c r="CD237" i="3"/>
  <c r="CC237" i="3"/>
  <c r="CB237" i="3"/>
  <c r="CA237" i="3"/>
  <c r="BZ237" i="3"/>
  <c r="BY237" i="3"/>
  <c r="BX237" i="3"/>
  <c r="BW237" i="3"/>
  <c r="BV237" i="3"/>
  <c r="BU237" i="3"/>
  <c r="BT237" i="3"/>
  <c r="BS237" i="3"/>
  <c r="BR237" i="3"/>
  <c r="BQ237" i="3"/>
  <c r="BP237" i="3"/>
  <c r="BO237" i="3"/>
  <c r="BN237" i="3"/>
  <c r="DU236" i="3"/>
  <c r="DT236" i="3"/>
  <c r="DS236" i="3"/>
  <c r="DR236" i="3"/>
  <c r="DQ236" i="3"/>
  <c r="DP236" i="3"/>
  <c r="DO236" i="3"/>
  <c r="DN236" i="3"/>
  <c r="DM236" i="3"/>
  <c r="DL236" i="3"/>
  <c r="DK236" i="3"/>
  <c r="DJ236" i="3"/>
  <c r="DI236" i="3"/>
  <c r="DH236" i="3"/>
  <c r="DG236" i="3"/>
  <c r="DF236" i="3"/>
  <c r="DE236" i="3"/>
  <c r="DD236" i="3"/>
  <c r="DC236" i="3"/>
  <c r="DB236" i="3"/>
  <c r="DA236" i="3"/>
  <c r="CZ236" i="3"/>
  <c r="CY236" i="3"/>
  <c r="CX236" i="3"/>
  <c r="CW236" i="3"/>
  <c r="CV236" i="3"/>
  <c r="CU236" i="3"/>
  <c r="CT236" i="3"/>
  <c r="CS236" i="3"/>
  <c r="CR236" i="3"/>
  <c r="CQ236" i="3"/>
  <c r="CP236" i="3"/>
  <c r="CO236" i="3"/>
  <c r="CN236" i="3"/>
  <c r="CM236" i="3"/>
  <c r="CL236" i="3"/>
  <c r="CK236" i="3"/>
  <c r="CJ236" i="3"/>
  <c r="CI236" i="3"/>
  <c r="CH236" i="3"/>
  <c r="CG236" i="3"/>
  <c r="CF236" i="3"/>
  <c r="CE236" i="3"/>
  <c r="CD236" i="3"/>
  <c r="CC236" i="3"/>
  <c r="CB236" i="3"/>
  <c r="CA236" i="3"/>
  <c r="BZ236" i="3"/>
  <c r="BY236" i="3"/>
  <c r="BX236" i="3"/>
  <c r="BW236" i="3"/>
  <c r="BV236" i="3"/>
  <c r="BU236" i="3"/>
  <c r="BT236" i="3"/>
  <c r="BS236" i="3"/>
  <c r="BR236" i="3"/>
  <c r="BQ236" i="3"/>
  <c r="BP236" i="3"/>
  <c r="BO236" i="3"/>
  <c r="BN236" i="3"/>
  <c r="DU235" i="3"/>
  <c r="DT235" i="3"/>
  <c r="DS235" i="3"/>
  <c r="DR235" i="3"/>
  <c r="DQ235" i="3"/>
  <c r="DP235" i="3"/>
  <c r="DO235" i="3"/>
  <c r="DN235" i="3"/>
  <c r="DM235" i="3"/>
  <c r="DL235" i="3"/>
  <c r="DK235" i="3"/>
  <c r="DJ235" i="3"/>
  <c r="DI235" i="3"/>
  <c r="DH235" i="3"/>
  <c r="DG235" i="3"/>
  <c r="DF235" i="3"/>
  <c r="DE235" i="3"/>
  <c r="DD235" i="3"/>
  <c r="DC235" i="3"/>
  <c r="DB235" i="3"/>
  <c r="DA235" i="3"/>
  <c r="CZ235" i="3"/>
  <c r="CY235" i="3"/>
  <c r="CX235" i="3"/>
  <c r="CW235" i="3"/>
  <c r="CV235" i="3"/>
  <c r="CU235" i="3"/>
  <c r="CT235" i="3"/>
  <c r="CS235" i="3"/>
  <c r="CR235" i="3"/>
  <c r="CQ235" i="3"/>
  <c r="CP235" i="3"/>
  <c r="CO235" i="3"/>
  <c r="CN235" i="3"/>
  <c r="CM235" i="3"/>
  <c r="CL235" i="3"/>
  <c r="CK235" i="3"/>
  <c r="CJ235" i="3"/>
  <c r="CI235" i="3"/>
  <c r="CH235" i="3"/>
  <c r="CG235" i="3"/>
  <c r="CF235" i="3"/>
  <c r="CE235" i="3"/>
  <c r="CD235" i="3"/>
  <c r="CC235" i="3"/>
  <c r="CB235" i="3"/>
  <c r="CA235" i="3"/>
  <c r="BZ235" i="3"/>
  <c r="BY235" i="3"/>
  <c r="BX235" i="3"/>
  <c r="BW235" i="3"/>
  <c r="BV235" i="3"/>
  <c r="BU235" i="3"/>
  <c r="BT235" i="3"/>
  <c r="BS235" i="3"/>
  <c r="BR235" i="3"/>
  <c r="BQ235" i="3"/>
  <c r="BP235" i="3"/>
  <c r="BO235" i="3"/>
  <c r="BN235" i="3"/>
  <c r="DU234" i="3"/>
  <c r="DT234" i="3"/>
  <c r="DS234" i="3"/>
  <c r="DR234" i="3"/>
  <c r="DQ234" i="3"/>
  <c r="DP234" i="3"/>
  <c r="DO234" i="3"/>
  <c r="DN234" i="3"/>
  <c r="DM234" i="3"/>
  <c r="DL234" i="3"/>
  <c r="DK234" i="3"/>
  <c r="DJ234" i="3"/>
  <c r="DI234" i="3"/>
  <c r="DH234" i="3"/>
  <c r="DG234" i="3"/>
  <c r="DF234" i="3"/>
  <c r="DE234" i="3"/>
  <c r="DD234" i="3"/>
  <c r="DC234" i="3"/>
  <c r="DB234" i="3"/>
  <c r="DA234" i="3"/>
  <c r="CZ234" i="3"/>
  <c r="CY234" i="3"/>
  <c r="CX234" i="3"/>
  <c r="CW234" i="3"/>
  <c r="CV234" i="3"/>
  <c r="CU234" i="3"/>
  <c r="CT234" i="3"/>
  <c r="CS234" i="3"/>
  <c r="CR234" i="3"/>
  <c r="CQ234" i="3"/>
  <c r="CP234" i="3"/>
  <c r="CO234" i="3"/>
  <c r="CN234" i="3"/>
  <c r="CM234" i="3"/>
  <c r="CL234" i="3"/>
  <c r="CK234" i="3"/>
  <c r="CJ234" i="3"/>
  <c r="CI234" i="3"/>
  <c r="CH234" i="3"/>
  <c r="CG234" i="3"/>
  <c r="CF234" i="3"/>
  <c r="CE234" i="3"/>
  <c r="CD234" i="3"/>
  <c r="CC234" i="3"/>
  <c r="CB234" i="3"/>
  <c r="CA234" i="3"/>
  <c r="BZ234" i="3"/>
  <c r="BY234" i="3"/>
  <c r="BX234" i="3"/>
  <c r="BW234" i="3"/>
  <c r="BV234" i="3"/>
  <c r="BU234" i="3"/>
  <c r="BT234" i="3"/>
  <c r="BS234" i="3"/>
  <c r="BR234" i="3"/>
  <c r="BQ234" i="3"/>
  <c r="BP234" i="3"/>
  <c r="BO234" i="3"/>
  <c r="BN234" i="3"/>
  <c r="DU233" i="3"/>
  <c r="DT233" i="3"/>
  <c r="DS233" i="3"/>
  <c r="DR233" i="3"/>
  <c r="DQ233" i="3"/>
  <c r="DP233" i="3"/>
  <c r="DO233" i="3"/>
  <c r="DN233" i="3"/>
  <c r="DM233" i="3"/>
  <c r="DL233" i="3"/>
  <c r="DK233" i="3"/>
  <c r="DJ233" i="3"/>
  <c r="DI233" i="3"/>
  <c r="DH233" i="3"/>
  <c r="DG233" i="3"/>
  <c r="DF233" i="3"/>
  <c r="DE233" i="3"/>
  <c r="DD233" i="3"/>
  <c r="DC233" i="3"/>
  <c r="DB233" i="3"/>
  <c r="DA233" i="3"/>
  <c r="CZ233" i="3"/>
  <c r="CY233" i="3"/>
  <c r="CX233" i="3"/>
  <c r="CW233" i="3"/>
  <c r="CV233" i="3"/>
  <c r="CU233" i="3"/>
  <c r="CT233" i="3"/>
  <c r="CS233" i="3"/>
  <c r="CR233" i="3"/>
  <c r="CQ233" i="3"/>
  <c r="CP233" i="3"/>
  <c r="CO233" i="3"/>
  <c r="CN233" i="3"/>
  <c r="CM233" i="3"/>
  <c r="CL233" i="3"/>
  <c r="CK233" i="3"/>
  <c r="CJ233" i="3"/>
  <c r="CI233" i="3"/>
  <c r="CH233" i="3"/>
  <c r="CG233" i="3"/>
  <c r="CF233" i="3"/>
  <c r="CE233" i="3"/>
  <c r="CD233" i="3"/>
  <c r="CC233" i="3"/>
  <c r="CB233" i="3"/>
  <c r="CA233" i="3"/>
  <c r="BZ233" i="3"/>
  <c r="BY233" i="3"/>
  <c r="BX233" i="3"/>
  <c r="BW233" i="3"/>
  <c r="BV233" i="3"/>
  <c r="BU233" i="3"/>
  <c r="BT233" i="3"/>
  <c r="BS233" i="3"/>
  <c r="BR233" i="3"/>
  <c r="BQ233" i="3"/>
  <c r="BP233" i="3"/>
  <c r="BO233" i="3"/>
  <c r="BN233" i="3"/>
  <c r="DU232" i="3"/>
  <c r="DT232" i="3"/>
  <c r="DS232" i="3"/>
  <c r="DR232" i="3"/>
  <c r="DQ232" i="3"/>
  <c r="DP232" i="3"/>
  <c r="DO232" i="3"/>
  <c r="DN232" i="3"/>
  <c r="DM232" i="3"/>
  <c r="DL232" i="3"/>
  <c r="DK232" i="3"/>
  <c r="DJ232" i="3"/>
  <c r="DI232" i="3"/>
  <c r="DH232" i="3"/>
  <c r="DG232" i="3"/>
  <c r="DF232" i="3"/>
  <c r="DE232" i="3"/>
  <c r="DD232" i="3"/>
  <c r="DC232" i="3"/>
  <c r="DB232" i="3"/>
  <c r="DA232" i="3"/>
  <c r="CZ232" i="3"/>
  <c r="CY232" i="3"/>
  <c r="CX232" i="3"/>
  <c r="CW232" i="3"/>
  <c r="CV232" i="3"/>
  <c r="CU232" i="3"/>
  <c r="CT232" i="3"/>
  <c r="CS232" i="3"/>
  <c r="CR232" i="3"/>
  <c r="CQ232" i="3"/>
  <c r="CP232" i="3"/>
  <c r="CO232" i="3"/>
  <c r="CN232" i="3"/>
  <c r="CM232" i="3"/>
  <c r="CL232" i="3"/>
  <c r="CK232" i="3"/>
  <c r="CJ232" i="3"/>
  <c r="CI232" i="3"/>
  <c r="CH232" i="3"/>
  <c r="CG232" i="3"/>
  <c r="CF232" i="3"/>
  <c r="CE232" i="3"/>
  <c r="CD232" i="3"/>
  <c r="CC232" i="3"/>
  <c r="CB232" i="3"/>
  <c r="CA232" i="3"/>
  <c r="BZ232" i="3"/>
  <c r="BY232" i="3"/>
  <c r="BX232" i="3"/>
  <c r="BW232" i="3"/>
  <c r="BV232" i="3"/>
  <c r="BU232" i="3"/>
  <c r="BT232" i="3"/>
  <c r="BS232" i="3"/>
  <c r="BR232" i="3"/>
  <c r="BQ232" i="3"/>
  <c r="BP232" i="3"/>
  <c r="BO232" i="3"/>
  <c r="BN232" i="3"/>
  <c r="DU231" i="3"/>
  <c r="DT231" i="3"/>
  <c r="DS231" i="3"/>
  <c r="DR231" i="3"/>
  <c r="DQ231" i="3"/>
  <c r="DP231" i="3"/>
  <c r="DO231" i="3"/>
  <c r="DN231" i="3"/>
  <c r="DM231" i="3"/>
  <c r="DL231" i="3"/>
  <c r="DK231" i="3"/>
  <c r="DJ231" i="3"/>
  <c r="DI231" i="3"/>
  <c r="DH231" i="3"/>
  <c r="DG231" i="3"/>
  <c r="DF231" i="3"/>
  <c r="DE231" i="3"/>
  <c r="DD231" i="3"/>
  <c r="DC231" i="3"/>
  <c r="DB231" i="3"/>
  <c r="DA231" i="3"/>
  <c r="CZ231" i="3"/>
  <c r="CY231" i="3"/>
  <c r="CX231" i="3"/>
  <c r="CW231" i="3"/>
  <c r="CV231" i="3"/>
  <c r="CU231" i="3"/>
  <c r="CT231" i="3"/>
  <c r="CS231" i="3"/>
  <c r="CR231" i="3"/>
  <c r="CQ231" i="3"/>
  <c r="CP231" i="3"/>
  <c r="CO231" i="3"/>
  <c r="CN231" i="3"/>
  <c r="CM231" i="3"/>
  <c r="CL231" i="3"/>
  <c r="CK231" i="3"/>
  <c r="CJ231" i="3"/>
  <c r="CI231" i="3"/>
  <c r="CH231" i="3"/>
  <c r="CG231" i="3"/>
  <c r="CF231" i="3"/>
  <c r="CE231" i="3"/>
  <c r="CD231" i="3"/>
  <c r="CC231" i="3"/>
  <c r="CB231" i="3"/>
  <c r="CA231" i="3"/>
  <c r="BZ231" i="3"/>
  <c r="BY231" i="3"/>
  <c r="BX231" i="3"/>
  <c r="BW231" i="3"/>
  <c r="BV231" i="3"/>
  <c r="BU231" i="3"/>
  <c r="BT231" i="3"/>
  <c r="BS231" i="3"/>
  <c r="BR231" i="3"/>
  <c r="BQ231" i="3"/>
  <c r="BP231" i="3"/>
  <c r="BO231" i="3"/>
  <c r="BN231" i="3"/>
  <c r="DU230" i="3"/>
  <c r="DT230" i="3"/>
  <c r="DS230" i="3"/>
  <c r="DR230" i="3"/>
  <c r="DQ230" i="3"/>
  <c r="DP230" i="3"/>
  <c r="DO230" i="3"/>
  <c r="DN230" i="3"/>
  <c r="DM230" i="3"/>
  <c r="DL230" i="3"/>
  <c r="DK230" i="3"/>
  <c r="DJ230" i="3"/>
  <c r="DI230" i="3"/>
  <c r="DH230" i="3"/>
  <c r="DG230" i="3"/>
  <c r="DF230" i="3"/>
  <c r="DE230" i="3"/>
  <c r="DD230" i="3"/>
  <c r="DC230" i="3"/>
  <c r="DB230" i="3"/>
  <c r="DA230" i="3"/>
  <c r="CZ230" i="3"/>
  <c r="CY230" i="3"/>
  <c r="CX230" i="3"/>
  <c r="CW230" i="3"/>
  <c r="CV230" i="3"/>
  <c r="CU230" i="3"/>
  <c r="CT230" i="3"/>
  <c r="CS230" i="3"/>
  <c r="CR230" i="3"/>
  <c r="CQ230" i="3"/>
  <c r="CP230" i="3"/>
  <c r="CO230" i="3"/>
  <c r="CN230" i="3"/>
  <c r="CM230" i="3"/>
  <c r="CL230" i="3"/>
  <c r="CK230" i="3"/>
  <c r="CJ230" i="3"/>
  <c r="CI230" i="3"/>
  <c r="CH230" i="3"/>
  <c r="CG230" i="3"/>
  <c r="CF230" i="3"/>
  <c r="CE230" i="3"/>
  <c r="CD230" i="3"/>
  <c r="CC230" i="3"/>
  <c r="CB230" i="3"/>
  <c r="CA230" i="3"/>
  <c r="BZ230" i="3"/>
  <c r="BY230" i="3"/>
  <c r="BX230" i="3"/>
  <c r="BW230" i="3"/>
  <c r="BV230" i="3"/>
  <c r="BU230" i="3"/>
  <c r="BT230" i="3"/>
  <c r="BS230" i="3"/>
  <c r="BR230" i="3"/>
  <c r="BQ230" i="3"/>
  <c r="BP230" i="3"/>
  <c r="BO230" i="3"/>
  <c r="BN230" i="3"/>
  <c r="DU229" i="3"/>
  <c r="DT229" i="3"/>
  <c r="DS229" i="3"/>
  <c r="DR229" i="3"/>
  <c r="DQ229" i="3"/>
  <c r="DP229" i="3"/>
  <c r="DO229" i="3"/>
  <c r="DN229" i="3"/>
  <c r="DM229" i="3"/>
  <c r="DL229" i="3"/>
  <c r="DK229" i="3"/>
  <c r="DJ229" i="3"/>
  <c r="DI229" i="3"/>
  <c r="DH229" i="3"/>
  <c r="DG229" i="3"/>
  <c r="DF229" i="3"/>
  <c r="DE229" i="3"/>
  <c r="DD229" i="3"/>
  <c r="DC229" i="3"/>
  <c r="DB229" i="3"/>
  <c r="DA229" i="3"/>
  <c r="CZ229" i="3"/>
  <c r="CY229" i="3"/>
  <c r="CX229" i="3"/>
  <c r="CW229" i="3"/>
  <c r="CV229" i="3"/>
  <c r="CU229" i="3"/>
  <c r="CT229" i="3"/>
  <c r="CS229" i="3"/>
  <c r="CR229" i="3"/>
  <c r="CQ229" i="3"/>
  <c r="CP229" i="3"/>
  <c r="CO229" i="3"/>
  <c r="CN229" i="3"/>
  <c r="CM229" i="3"/>
  <c r="CL229" i="3"/>
  <c r="CK229" i="3"/>
  <c r="CJ229" i="3"/>
  <c r="CI229" i="3"/>
  <c r="CH229" i="3"/>
  <c r="CG229" i="3"/>
  <c r="CF229" i="3"/>
  <c r="CE229" i="3"/>
  <c r="CD229" i="3"/>
  <c r="CC229" i="3"/>
  <c r="CB229" i="3"/>
  <c r="CA229" i="3"/>
  <c r="BZ229" i="3"/>
  <c r="BY229" i="3"/>
  <c r="BX229" i="3"/>
  <c r="BW229" i="3"/>
  <c r="BV229" i="3"/>
  <c r="BU229" i="3"/>
  <c r="BT229" i="3"/>
  <c r="BS229" i="3"/>
  <c r="BR229" i="3"/>
  <c r="BQ229" i="3"/>
  <c r="BP229" i="3"/>
  <c r="BO229" i="3"/>
  <c r="BN229" i="3"/>
  <c r="DU228" i="3"/>
  <c r="DT228" i="3"/>
  <c r="DS228" i="3"/>
  <c r="DR228" i="3"/>
  <c r="DQ228" i="3"/>
  <c r="DP228" i="3"/>
  <c r="DO228" i="3"/>
  <c r="DN228" i="3"/>
  <c r="DM228" i="3"/>
  <c r="DL228" i="3"/>
  <c r="DK228" i="3"/>
  <c r="DJ228" i="3"/>
  <c r="DI228" i="3"/>
  <c r="DH228" i="3"/>
  <c r="DG228" i="3"/>
  <c r="DF228" i="3"/>
  <c r="DE228" i="3"/>
  <c r="DD228" i="3"/>
  <c r="DC228" i="3"/>
  <c r="DB228" i="3"/>
  <c r="DA228" i="3"/>
  <c r="CZ228" i="3"/>
  <c r="CY228" i="3"/>
  <c r="CX228" i="3"/>
  <c r="CW228" i="3"/>
  <c r="CV228" i="3"/>
  <c r="CU228" i="3"/>
  <c r="CT228" i="3"/>
  <c r="CS228" i="3"/>
  <c r="CR228" i="3"/>
  <c r="CQ228" i="3"/>
  <c r="CP228" i="3"/>
  <c r="CO228" i="3"/>
  <c r="CN228" i="3"/>
  <c r="CM228" i="3"/>
  <c r="CL228" i="3"/>
  <c r="CK228" i="3"/>
  <c r="CJ228" i="3"/>
  <c r="CI228" i="3"/>
  <c r="CH228" i="3"/>
  <c r="CG228" i="3"/>
  <c r="CF228" i="3"/>
  <c r="CE228" i="3"/>
  <c r="CD228" i="3"/>
  <c r="CC228" i="3"/>
  <c r="CB228" i="3"/>
  <c r="CA228" i="3"/>
  <c r="BZ228" i="3"/>
  <c r="BY228" i="3"/>
  <c r="BX228" i="3"/>
  <c r="BW228" i="3"/>
  <c r="BV228" i="3"/>
  <c r="BU228" i="3"/>
  <c r="BT228" i="3"/>
  <c r="BS228" i="3"/>
  <c r="BR228" i="3"/>
  <c r="BQ228" i="3"/>
  <c r="BP228" i="3"/>
  <c r="BO228" i="3"/>
  <c r="BN228" i="3"/>
  <c r="DU227" i="3"/>
  <c r="DT227" i="3"/>
  <c r="DS227" i="3"/>
  <c r="DR227" i="3"/>
  <c r="DQ227" i="3"/>
  <c r="DP227" i="3"/>
  <c r="DO227" i="3"/>
  <c r="DN227" i="3"/>
  <c r="DM227" i="3"/>
  <c r="DL227" i="3"/>
  <c r="DK227" i="3"/>
  <c r="DJ227" i="3"/>
  <c r="DI227" i="3"/>
  <c r="DH227" i="3"/>
  <c r="DG227" i="3"/>
  <c r="DF227" i="3"/>
  <c r="DE227" i="3"/>
  <c r="DD227" i="3"/>
  <c r="DC227" i="3"/>
  <c r="DB227" i="3"/>
  <c r="DA227" i="3"/>
  <c r="CZ227" i="3"/>
  <c r="CY227" i="3"/>
  <c r="CX227" i="3"/>
  <c r="CW227" i="3"/>
  <c r="CV227" i="3"/>
  <c r="CU227" i="3"/>
  <c r="CT227" i="3"/>
  <c r="CS227" i="3"/>
  <c r="CR227" i="3"/>
  <c r="CQ227" i="3"/>
  <c r="CP227" i="3"/>
  <c r="CO227" i="3"/>
  <c r="CN227" i="3"/>
  <c r="CM227" i="3"/>
  <c r="CL227" i="3"/>
  <c r="CK227" i="3"/>
  <c r="CJ227" i="3"/>
  <c r="CI227" i="3"/>
  <c r="CH227" i="3"/>
  <c r="CG227" i="3"/>
  <c r="CF227" i="3"/>
  <c r="CE227" i="3"/>
  <c r="CD227" i="3"/>
  <c r="CC227" i="3"/>
  <c r="CB227" i="3"/>
  <c r="CA227" i="3"/>
  <c r="BZ227" i="3"/>
  <c r="BY227" i="3"/>
  <c r="BX227" i="3"/>
  <c r="BW227" i="3"/>
  <c r="BV227" i="3"/>
  <c r="BU227" i="3"/>
  <c r="BT227" i="3"/>
  <c r="BS227" i="3"/>
  <c r="BR227" i="3"/>
  <c r="BQ227" i="3"/>
  <c r="BP227" i="3"/>
  <c r="BO227" i="3"/>
  <c r="BN227" i="3"/>
  <c r="DU226" i="3"/>
  <c r="DT226" i="3"/>
  <c r="DS226" i="3"/>
  <c r="DR226" i="3"/>
  <c r="DQ226" i="3"/>
  <c r="DP226" i="3"/>
  <c r="DO226" i="3"/>
  <c r="DN226" i="3"/>
  <c r="DM226" i="3"/>
  <c r="DL226" i="3"/>
  <c r="DK226" i="3"/>
  <c r="DJ226" i="3"/>
  <c r="DI226" i="3"/>
  <c r="DH226" i="3"/>
  <c r="DG226" i="3"/>
  <c r="DF226" i="3"/>
  <c r="DE226" i="3"/>
  <c r="DD226" i="3"/>
  <c r="DC226" i="3"/>
  <c r="DB226" i="3"/>
  <c r="DA226" i="3"/>
  <c r="CZ226" i="3"/>
  <c r="CY226" i="3"/>
  <c r="CX226" i="3"/>
  <c r="CW226" i="3"/>
  <c r="CV226" i="3"/>
  <c r="CU226" i="3"/>
  <c r="CT226" i="3"/>
  <c r="CS226" i="3"/>
  <c r="CR226" i="3"/>
  <c r="CQ226" i="3"/>
  <c r="CP226" i="3"/>
  <c r="CO226" i="3"/>
  <c r="CN226" i="3"/>
  <c r="CM226" i="3"/>
  <c r="CL226" i="3"/>
  <c r="CK226" i="3"/>
  <c r="CJ226" i="3"/>
  <c r="CI226" i="3"/>
  <c r="CH226" i="3"/>
  <c r="CG226" i="3"/>
  <c r="CF226" i="3"/>
  <c r="CE226" i="3"/>
  <c r="CD226" i="3"/>
  <c r="CC226" i="3"/>
  <c r="CB226" i="3"/>
  <c r="CA226" i="3"/>
  <c r="BZ226" i="3"/>
  <c r="BY226" i="3"/>
  <c r="BX226" i="3"/>
  <c r="BW226" i="3"/>
  <c r="BV226" i="3"/>
  <c r="BU226" i="3"/>
  <c r="BT226" i="3"/>
  <c r="BS226" i="3"/>
  <c r="BR226" i="3"/>
  <c r="BQ226" i="3"/>
  <c r="BP226" i="3"/>
  <c r="BO226" i="3"/>
  <c r="BN226" i="3"/>
  <c r="DU225" i="3"/>
  <c r="DT225" i="3"/>
  <c r="DS225" i="3"/>
  <c r="DR225" i="3"/>
  <c r="DQ225" i="3"/>
  <c r="DP225" i="3"/>
  <c r="DO225" i="3"/>
  <c r="DN225" i="3"/>
  <c r="DM225" i="3"/>
  <c r="DL225" i="3"/>
  <c r="DK225" i="3"/>
  <c r="DJ225" i="3"/>
  <c r="DI225" i="3"/>
  <c r="DH225" i="3"/>
  <c r="DG225" i="3"/>
  <c r="DF225" i="3"/>
  <c r="DE225" i="3"/>
  <c r="DD225" i="3"/>
  <c r="DC225" i="3"/>
  <c r="DB225" i="3"/>
  <c r="DA225" i="3"/>
  <c r="CZ225" i="3"/>
  <c r="CY225" i="3"/>
  <c r="CX225" i="3"/>
  <c r="CW225" i="3"/>
  <c r="CV225" i="3"/>
  <c r="CU225" i="3"/>
  <c r="CT225" i="3"/>
  <c r="CS225" i="3"/>
  <c r="CR225" i="3"/>
  <c r="CQ225" i="3"/>
  <c r="CP225" i="3"/>
  <c r="CO225" i="3"/>
  <c r="CN225" i="3"/>
  <c r="CM225" i="3"/>
  <c r="CL225" i="3"/>
  <c r="CK225" i="3"/>
  <c r="CJ225" i="3"/>
  <c r="CI225" i="3"/>
  <c r="CH225" i="3"/>
  <c r="CG225" i="3"/>
  <c r="CF225" i="3"/>
  <c r="CE225" i="3"/>
  <c r="CD225" i="3"/>
  <c r="CC225" i="3"/>
  <c r="CB225" i="3"/>
  <c r="CA225" i="3"/>
  <c r="BZ225" i="3"/>
  <c r="BY225" i="3"/>
  <c r="BX225" i="3"/>
  <c r="BW225" i="3"/>
  <c r="BV225" i="3"/>
  <c r="BU225" i="3"/>
  <c r="BT225" i="3"/>
  <c r="BS225" i="3"/>
  <c r="BR225" i="3"/>
  <c r="BQ225" i="3"/>
  <c r="BP225" i="3"/>
  <c r="BO225" i="3"/>
  <c r="BN225" i="3"/>
  <c r="DU224" i="3"/>
  <c r="DT224" i="3"/>
  <c r="DS224" i="3"/>
  <c r="DR224" i="3"/>
  <c r="DQ224" i="3"/>
  <c r="DP224" i="3"/>
  <c r="DO224" i="3"/>
  <c r="DN224" i="3"/>
  <c r="DM224" i="3"/>
  <c r="DL224" i="3"/>
  <c r="DK224" i="3"/>
  <c r="DJ224" i="3"/>
  <c r="DI224" i="3"/>
  <c r="DH224" i="3"/>
  <c r="DG224" i="3"/>
  <c r="DF224" i="3"/>
  <c r="DE224" i="3"/>
  <c r="DD224" i="3"/>
  <c r="DC224" i="3"/>
  <c r="DB224" i="3"/>
  <c r="DA224" i="3"/>
  <c r="CZ224" i="3"/>
  <c r="CY224" i="3"/>
  <c r="CX224" i="3"/>
  <c r="CW224" i="3"/>
  <c r="CV224" i="3"/>
  <c r="CU224" i="3"/>
  <c r="CT224" i="3"/>
  <c r="CS224" i="3"/>
  <c r="CR224" i="3"/>
  <c r="CQ224" i="3"/>
  <c r="CP224" i="3"/>
  <c r="CO224" i="3"/>
  <c r="CN224" i="3"/>
  <c r="CM224" i="3"/>
  <c r="CL224" i="3"/>
  <c r="CK224" i="3"/>
  <c r="CJ224" i="3"/>
  <c r="CI224" i="3"/>
  <c r="CH224" i="3"/>
  <c r="CG224" i="3"/>
  <c r="CF224" i="3"/>
  <c r="CE224" i="3"/>
  <c r="CD224" i="3"/>
  <c r="CC224" i="3"/>
  <c r="CB224" i="3"/>
  <c r="CA224" i="3"/>
  <c r="BZ224" i="3"/>
  <c r="BY224" i="3"/>
  <c r="BX224" i="3"/>
  <c r="BW224" i="3"/>
  <c r="BV224" i="3"/>
  <c r="BU224" i="3"/>
  <c r="BT224" i="3"/>
  <c r="BS224" i="3"/>
  <c r="BR224" i="3"/>
  <c r="BQ224" i="3"/>
  <c r="BP224" i="3"/>
  <c r="BO224" i="3"/>
  <c r="BN224" i="3"/>
  <c r="DU223" i="3"/>
  <c r="DT223" i="3"/>
  <c r="DS223" i="3"/>
  <c r="DR223" i="3"/>
  <c r="DQ223" i="3"/>
  <c r="DP223" i="3"/>
  <c r="DO223" i="3"/>
  <c r="DN223" i="3"/>
  <c r="DM223" i="3"/>
  <c r="DL223" i="3"/>
  <c r="DK223" i="3"/>
  <c r="DJ223" i="3"/>
  <c r="DI223" i="3"/>
  <c r="DH223" i="3"/>
  <c r="DG223" i="3"/>
  <c r="DF223" i="3"/>
  <c r="DE223" i="3"/>
  <c r="DD223" i="3"/>
  <c r="DC223" i="3"/>
  <c r="DB223" i="3"/>
  <c r="DA223" i="3"/>
  <c r="CZ223" i="3"/>
  <c r="CY223" i="3"/>
  <c r="CX223" i="3"/>
  <c r="CW223" i="3"/>
  <c r="CV223" i="3"/>
  <c r="CU223" i="3"/>
  <c r="CT223" i="3"/>
  <c r="CS223" i="3"/>
  <c r="CR223" i="3"/>
  <c r="CQ223" i="3"/>
  <c r="CP223" i="3"/>
  <c r="CO223" i="3"/>
  <c r="CN223" i="3"/>
  <c r="CM223" i="3"/>
  <c r="CL223" i="3"/>
  <c r="CK223" i="3"/>
  <c r="CJ223" i="3"/>
  <c r="CI223" i="3"/>
  <c r="CH223" i="3"/>
  <c r="CG223" i="3"/>
  <c r="CF223" i="3"/>
  <c r="CE223" i="3"/>
  <c r="CD223" i="3"/>
  <c r="CC223" i="3"/>
  <c r="CB223" i="3"/>
  <c r="CA223" i="3"/>
  <c r="BZ223" i="3"/>
  <c r="BY223" i="3"/>
  <c r="BX223" i="3"/>
  <c r="BW223" i="3"/>
  <c r="BV223" i="3"/>
  <c r="BU223" i="3"/>
  <c r="BT223" i="3"/>
  <c r="BS223" i="3"/>
  <c r="BR223" i="3"/>
  <c r="BQ223" i="3"/>
  <c r="BP223" i="3"/>
  <c r="BO223" i="3"/>
  <c r="BN223" i="3"/>
  <c r="DU222" i="3"/>
  <c r="DT222" i="3"/>
  <c r="DS222" i="3"/>
  <c r="DR222" i="3"/>
  <c r="DQ222" i="3"/>
  <c r="DP222" i="3"/>
  <c r="DO222" i="3"/>
  <c r="DN222" i="3"/>
  <c r="DM222" i="3"/>
  <c r="DL222" i="3"/>
  <c r="DK222" i="3"/>
  <c r="DJ222" i="3"/>
  <c r="DI222" i="3"/>
  <c r="DH222" i="3"/>
  <c r="DG222" i="3"/>
  <c r="DF222" i="3"/>
  <c r="DE222" i="3"/>
  <c r="DD222" i="3"/>
  <c r="DC222" i="3"/>
  <c r="DB222" i="3"/>
  <c r="DA222" i="3"/>
  <c r="CZ222" i="3"/>
  <c r="CY222" i="3"/>
  <c r="CX222" i="3"/>
  <c r="CW222" i="3"/>
  <c r="CV222" i="3"/>
  <c r="CU222" i="3"/>
  <c r="CT222" i="3"/>
  <c r="CS222" i="3"/>
  <c r="CR222" i="3"/>
  <c r="CQ222" i="3"/>
  <c r="CP222" i="3"/>
  <c r="CO222" i="3"/>
  <c r="CN222" i="3"/>
  <c r="CM222" i="3"/>
  <c r="CL222" i="3"/>
  <c r="CK222" i="3"/>
  <c r="CJ222" i="3"/>
  <c r="CI222" i="3"/>
  <c r="CH222" i="3"/>
  <c r="CG222" i="3"/>
  <c r="CF222" i="3"/>
  <c r="CE222" i="3"/>
  <c r="CD222" i="3"/>
  <c r="CC222" i="3"/>
  <c r="CB222" i="3"/>
  <c r="CA222" i="3"/>
  <c r="BZ222" i="3"/>
  <c r="BY222" i="3"/>
  <c r="BX222" i="3"/>
  <c r="BW222" i="3"/>
  <c r="BV222" i="3"/>
  <c r="BU222" i="3"/>
  <c r="BT222" i="3"/>
  <c r="BS222" i="3"/>
  <c r="BR222" i="3"/>
  <c r="BQ222" i="3"/>
  <c r="BP222" i="3"/>
  <c r="BO222" i="3"/>
  <c r="BN222" i="3"/>
  <c r="DU221" i="3"/>
  <c r="DT221" i="3"/>
  <c r="DS221" i="3"/>
  <c r="DR221" i="3"/>
  <c r="DQ221" i="3"/>
  <c r="DP221" i="3"/>
  <c r="DO221" i="3"/>
  <c r="DN221" i="3"/>
  <c r="DM221" i="3"/>
  <c r="DL221" i="3"/>
  <c r="DK221" i="3"/>
  <c r="DJ221" i="3"/>
  <c r="DI221" i="3"/>
  <c r="DH221" i="3"/>
  <c r="DG221" i="3"/>
  <c r="DF221" i="3"/>
  <c r="DE221" i="3"/>
  <c r="DD221" i="3"/>
  <c r="DC221" i="3"/>
  <c r="DB221" i="3"/>
  <c r="DA221" i="3"/>
  <c r="CZ221" i="3"/>
  <c r="CY221" i="3"/>
  <c r="CX221" i="3"/>
  <c r="CW221" i="3"/>
  <c r="CV221" i="3"/>
  <c r="CU221" i="3"/>
  <c r="CT221" i="3"/>
  <c r="CS221" i="3"/>
  <c r="CR221" i="3"/>
  <c r="CQ221" i="3"/>
  <c r="CP221" i="3"/>
  <c r="CO221" i="3"/>
  <c r="CN221" i="3"/>
  <c r="CM221" i="3"/>
  <c r="CL221" i="3"/>
  <c r="CK221" i="3"/>
  <c r="CJ221" i="3"/>
  <c r="CI221" i="3"/>
  <c r="CH221" i="3"/>
  <c r="CG221" i="3"/>
  <c r="CF221" i="3"/>
  <c r="CE221" i="3"/>
  <c r="CD221" i="3"/>
  <c r="CC221" i="3"/>
  <c r="CB221" i="3"/>
  <c r="CA221" i="3"/>
  <c r="BZ221" i="3"/>
  <c r="BY221" i="3"/>
  <c r="BX221" i="3"/>
  <c r="BW221" i="3"/>
  <c r="BV221" i="3"/>
  <c r="BU221" i="3"/>
  <c r="BT221" i="3"/>
  <c r="BS221" i="3"/>
  <c r="BR221" i="3"/>
  <c r="BQ221" i="3"/>
  <c r="BP221" i="3"/>
  <c r="BO221" i="3"/>
  <c r="BN221" i="3"/>
  <c r="DU220" i="3"/>
  <c r="DT220" i="3"/>
  <c r="DS220" i="3"/>
  <c r="DR220" i="3"/>
  <c r="DQ220" i="3"/>
  <c r="DP220" i="3"/>
  <c r="DO220" i="3"/>
  <c r="DN220" i="3"/>
  <c r="DM220" i="3"/>
  <c r="DL220" i="3"/>
  <c r="DK220" i="3"/>
  <c r="DJ220" i="3"/>
  <c r="DI220" i="3"/>
  <c r="DH220" i="3"/>
  <c r="DG220" i="3"/>
  <c r="DF220" i="3"/>
  <c r="DE220" i="3"/>
  <c r="DD220" i="3"/>
  <c r="DC220" i="3"/>
  <c r="DB220" i="3"/>
  <c r="DA220" i="3"/>
  <c r="CZ220" i="3"/>
  <c r="CY220" i="3"/>
  <c r="CX220" i="3"/>
  <c r="CW220" i="3"/>
  <c r="CV220" i="3"/>
  <c r="CU220" i="3"/>
  <c r="CT220" i="3"/>
  <c r="CS220" i="3"/>
  <c r="CR220" i="3"/>
  <c r="CQ220" i="3"/>
  <c r="CP220" i="3"/>
  <c r="CO220" i="3"/>
  <c r="CN220" i="3"/>
  <c r="CM220" i="3"/>
  <c r="CL220" i="3"/>
  <c r="CK220" i="3"/>
  <c r="CJ220" i="3"/>
  <c r="CI220" i="3"/>
  <c r="CH220" i="3"/>
  <c r="CG220" i="3"/>
  <c r="CF220" i="3"/>
  <c r="CE220" i="3"/>
  <c r="CD220" i="3"/>
  <c r="CC220" i="3"/>
  <c r="CB220" i="3"/>
  <c r="CA220" i="3"/>
  <c r="BZ220" i="3"/>
  <c r="BY220" i="3"/>
  <c r="BX220" i="3"/>
  <c r="BW220" i="3"/>
  <c r="BV220" i="3"/>
  <c r="BU220" i="3"/>
  <c r="BT220" i="3"/>
  <c r="BS220" i="3"/>
  <c r="BR220" i="3"/>
  <c r="BQ220" i="3"/>
  <c r="BP220" i="3"/>
  <c r="BO220" i="3"/>
  <c r="BN220" i="3"/>
  <c r="DU219" i="3"/>
  <c r="DT219" i="3"/>
  <c r="DS219" i="3"/>
  <c r="DR219" i="3"/>
  <c r="DQ219" i="3"/>
  <c r="DP219" i="3"/>
  <c r="DO219" i="3"/>
  <c r="DN219" i="3"/>
  <c r="DM219" i="3"/>
  <c r="DL219" i="3"/>
  <c r="DK219" i="3"/>
  <c r="DJ219" i="3"/>
  <c r="DI219" i="3"/>
  <c r="DH219" i="3"/>
  <c r="DG219" i="3"/>
  <c r="DF219" i="3"/>
  <c r="DE219" i="3"/>
  <c r="DD219" i="3"/>
  <c r="DC219" i="3"/>
  <c r="DB219" i="3"/>
  <c r="DA219" i="3"/>
  <c r="CZ219" i="3"/>
  <c r="CY219" i="3"/>
  <c r="CX219" i="3"/>
  <c r="CW219" i="3"/>
  <c r="CV219" i="3"/>
  <c r="CU219" i="3"/>
  <c r="CT219" i="3"/>
  <c r="CS219" i="3"/>
  <c r="CR219" i="3"/>
  <c r="CQ219" i="3"/>
  <c r="CP219" i="3"/>
  <c r="CO219" i="3"/>
  <c r="CN219" i="3"/>
  <c r="CM219" i="3"/>
  <c r="CL219" i="3"/>
  <c r="CK219" i="3"/>
  <c r="CJ219" i="3"/>
  <c r="CI219" i="3"/>
  <c r="CH219" i="3"/>
  <c r="CG219" i="3"/>
  <c r="CF219" i="3"/>
  <c r="CE219" i="3"/>
  <c r="CD219" i="3"/>
  <c r="CC219" i="3"/>
  <c r="CB219" i="3"/>
  <c r="CA219" i="3"/>
  <c r="BZ219" i="3"/>
  <c r="BY219" i="3"/>
  <c r="BX219" i="3"/>
  <c r="BW219" i="3"/>
  <c r="BV219" i="3"/>
  <c r="BU219" i="3"/>
  <c r="BT219" i="3"/>
  <c r="BS219" i="3"/>
  <c r="BR219" i="3"/>
  <c r="BQ219" i="3"/>
  <c r="BP219" i="3"/>
  <c r="BO219" i="3"/>
  <c r="BN219" i="3"/>
  <c r="DU218" i="3"/>
  <c r="DT218" i="3"/>
  <c r="DS218" i="3"/>
  <c r="DR218" i="3"/>
  <c r="DQ218" i="3"/>
  <c r="DP218" i="3"/>
  <c r="DO218" i="3"/>
  <c r="DN218" i="3"/>
  <c r="DM218" i="3"/>
  <c r="DL218" i="3"/>
  <c r="DK218" i="3"/>
  <c r="DJ218" i="3"/>
  <c r="DI218" i="3"/>
  <c r="DH218" i="3"/>
  <c r="DG218" i="3"/>
  <c r="DF218" i="3"/>
  <c r="DE218" i="3"/>
  <c r="DD218" i="3"/>
  <c r="DC218" i="3"/>
  <c r="DB218" i="3"/>
  <c r="DA218" i="3"/>
  <c r="CZ218" i="3"/>
  <c r="CY218" i="3"/>
  <c r="CX218" i="3"/>
  <c r="CW218" i="3"/>
  <c r="CV218" i="3"/>
  <c r="CU218" i="3"/>
  <c r="CT218" i="3"/>
  <c r="CS218" i="3"/>
  <c r="CR218" i="3"/>
  <c r="CQ218" i="3"/>
  <c r="CP218" i="3"/>
  <c r="CO218" i="3"/>
  <c r="CN218" i="3"/>
  <c r="CM218" i="3"/>
  <c r="CL218" i="3"/>
  <c r="CK218" i="3"/>
  <c r="CJ218" i="3"/>
  <c r="CI218" i="3"/>
  <c r="CH218" i="3"/>
  <c r="CG218" i="3"/>
  <c r="CF218" i="3"/>
  <c r="CE218" i="3"/>
  <c r="CD218" i="3"/>
  <c r="CC218" i="3"/>
  <c r="CB218" i="3"/>
  <c r="CA218" i="3"/>
  <c r="BZ218" i="3"/>
  <c r="BY218" i="3"/>
  <c r="BX218" i="3"/>
  <c r="BW218" i="3"/>
  <c r="BV218" i="3"/>
  <c r="BU218" i="3"/>
  <c r="BT218" i="3"/>
  <c r="BS218" i="3"/>
  <c r="BR218" i="3"/>
  <c r="BQ218" i="3"/>
  <c r="BP218" i="3"/>
  <c r="BO218" i="3"/>
  <c r="BN218" i="3"/>
  <c r="DU217" i="3"/>
  <c r="DT217" i="3"/>
  <c r="DS217" i="3"/>
  <c r="DR217" i="3"/>
  <c r="DQ217" i="3"/>
  <c r="DP217" i="3"/>
  <c r="DO217" i="3"/>
  <c r="DN217" i="3"/>
  <c r="DM217" i="3"/>
  <c r="DL217" i="3"/>
  <c r="DK217" i="3"/>
  <c r="DJ217" i="3"/>
  <c r="DI217" i="3"/>
  <c r="DH217" i="3"/>
  <c r="DG217" i="3"/>
  <c r="DF217" i="3"/>
  <c r="DE217" i="3"/>
  <c r="DD217" i="3"/>
  <c r="DC217" i="3"/>
  <c r="DB217" i="3"/>
  <c r="DA217" i="3"/>
  <c r="CZ217" i="3"/>
  <c r="CY217" i="3"/>
  <c r="CX217" i="3"/>
  <c r="CW217" i="3"/>
  <c r="CV217" i="3"/>
  <c r="CU217" i="3"/>
  <c r="CT217" i="3"/>
  <c r="CS217" i="3"/>
  <c r="CR217" i="3"/>
  <c r="CQ217" i="3"/>
  <c r="CP217" i="3"/>
  <c r="CO217" i="3"/>
  <c r="CN217" i="3"/>
  <c r="CM217" i="3"/>
  <c r="CL217" i="3"/>
  <c r="CK217" i="3"/>
  <c r="CJ217" i="3"/>
  <c r="CI217" i="3"/>
  <c r="CH217" i="3"/>
  <c r="CG217" i="3"/>
  <c r="CF217" i="3"/>
  <c r="CE217" i="3"/>
  <c r="CD217" i="3"/>
  <c r="CC217" i="3"/>
  <c r="CB217" i="3"/>
  <c r="CA217" i="3"/>
  <c r="BZ217" i="3"/>
  <c r="BY217" i="3"/>
  <c r="BX217" i="3"/>
  <c r="BW217" i="3"/>
  <c r="BV217" i="3"/>
  <c r="BU217" i="3"/>
  <c r="BT217" i="3"/>
  <c r="BS217" i="3"/>
  <c r="BR217" i="3"/>
  <c r="BQ217" i="3"/>
  <c r="BP217" i="3"/>
  <c r="BO217" i="3"/>
  <c r="BN217" i="3"/>
  <c r="DU216" i="3"/>
  <c r="DT216" i="3"/>
  <c r="DS216" i="3"/>
  <c r="DR216" i="3"/>
  <c r="DQ216" i="3"/>
  <c r="DP216" i="3"/>
  <c r="DO216" i="3"/>
  <c r="DN216" i="3"/>
  <c r="DM216" i="3"/>
  <c r="DL216" i="3"/>
  <c r="DK216" i="3"/>
  <c r="DJ216" i="3"/>
  <c r="DI216" i="3"/>
  <c r="DH216" i="3"/>
  <c r="DG216" i="3"/>
  <c r="DF216" i="3"/>
  <c r="DE216" i="3"/>
  <c r="DD216" i="3"/>
  <c r="DC216" i="3"/>
  <c r="DB216" i="3"/>
  <c r="DA216" i="3"/>
  <c r="CZ216" i="3"/>
  <c r="CY216" i="3"/>
  <c r="CX216" i="3"/>
  <c r="CW216" i="3"/>
  <c r="CV216" i="3"/>
  <c r="CU216" i="3"/>
  <c r="CT216" i="3"/>
  <c r="CS216" i="3"/>
  <c r="CR216" i="3"/>
  <c r="CQ216" i="3"/>
  <c r="CP216" i="3"/>
  <c r="CO216" i="3"/>
  <c r="CN216" i="3"/>
  <c r="CM216" i="3"/>
  <c r="CL216" i="3"/>
  <c r="CK216" i="3"/>
  <c r="CJ216" i="3"/>
  <c r="CI216" i="3"/>
  <c r="CH216" i="3"/>
  <c r="CG216" i="3"/>
  <c r="CF216" i="3"/>
  <c r="CE216" i="3"/>
  <c r="CD216" i="3"/>
  <c r="CC216" i="3"/>
  <c r="CB216" i="3"/>
  <c r="CA216" i="3"/>
  <c r="BZ216" i="3"/>
  <c r="BY216" i="3"/>
  <c r="BX216" i="3"/>
  <c r="BW216" i="3"/>
  <c r="BV216" i="3"/>
  <c r="BU216" i="3"/>
  <c r="BT216" i="3"/>
  <c r="BS216" i="3"/>
  <c r="BR216" i="3"/>
  <c r="BQ216" i="3"/>
  <c r="BP216" i="3"/>
  <c r="BO216" i="3"/>
  <c r="BN216" i="3"/>
  <c r="DU215" i="3"/>
  <c r="DT215" i="3"/>
  <c r="DS215" i="3"/>
  <c r="DR215" i="3"/>
  <c r="DQ215" i="3"/>
  <c r="DP215" i="3"/>
  <c r="DO215" i="3"/>
  <c r="DN215" i="3"/>
  <c r="DM215" i="3"/>
  <c r="DL215" i="3"/>
  <c r="DK215" i="3"/>
  <c r="DJ215" i="3"/>
  <c r="DI215" i="3"/>
  <c r="DH215" i="3"/>
  <c r="DG215" i="3"/>
  <c r="DF215" i="3"/>
  <c r="DE215" i="3"/>
  <c r="DD215" i="3"/>
  <c r="DC215" i="3"/>
  <c r="DB215" i="3"/>
  <c r="DA215" i="3"/>
  <c r="CZ215" i="3"/>
  <c r="CY215" i="3"/>
  <c r="CX215" i="3"/>
  <c r="CW215" i="3"/>
  <c r="CV215" i="3"/>
  <c r="CU215" i="3"/>
  <c r="CT215" i="3"/>
  <c r="CS215" i="3"/>
  <c r="CR215" i="3"/>
  <c r="CQ215" i="3"/>
  <c r="CP215" i="3"/>
  <c r="CO215" i="3"/>
  <c r="CN215" i="3"/>
  <c r="CM215" i="3"/>
  <c r="CL215" i="3"/>
  <c r="CK215" i="3"/>
  <c r="CJ215" i="3"/>
  <c r="CI215" i="3"/>
  <c r="CH215" i="3"/>
  <c r="CG215" i="3"/>
  <c r="CF215" i="3"/>
  <c r="CE215" i="3"/>
  <c r="CD215" i="3"/>
  <c r="CC215" i="3"/>
  <c r="CB215" i="3"/>
  <c r="CA215" i="3"/>
  <c r="BZ215" i="3"/>
  <c r="BY215" i="3"/>
  <c r="BX215" i="3"/>
  <c r="BW215" i="3"/>
  <c r="BV215" i="3"/>
  <c r="BU215" i="3"/>
  <c r="BT215" i="3"/>
  <c r="BS215" i="3"/>
  <c r="BR215" i="3"/>
  <c r="BQ215" i="3"/>
  <c r="BP215" i="3"/>
  <c r="BO215" i="3"/>
  <c r="BN215" i="3"/>
  <c r="DU214" i="3"/>
  <c r="DT214" i="3"/>
  <c r="DS214" i="3"/>
  <c r="DR214" i="3"/>
  <c r="DQ214" i="3"/>
  <c r="DP214" i="3"/>
  <c r="DO214" i="3"/>
  <c r="DN214" i="3"/>
  <c r="DM214" i="3"/>
  <c r="DL214" i="3"/>
  <c r="DK214" i="3"/>
  <c r="DJ214" i="3"/>
  <c r="DI214" i="3"/>
  <c r="DH214" i="3"/>
  <c r="DG214" i="3"/>
  <c r="DF214" i="3"/>
  <c r="DE214" i="3"/>
  <c r="DD214" i="3"/>
  <c r="DC214" i="3"/>
  <c r="DB214" i="3"/>
  <c r="DA214" i="3"/>
  <c r="CZ214" i="3"/>
  <c r="CY214" i="3"/>
  <c r="CX214" i="3"/>
  <c r="CW214" i="3"/>
  <c r="CV214" i="3"/>
  <c r="CU214" i="3"/>
  <c r="CT214" i="3"/>
  <c r="CS214" i="3"/>
  <c r="CR214" i="3"/>
  <c r="CQ214" i="3"/>
  <c r="CP214" i="3"/>
  <c r="CO214" i="3"/>
  <c r="CN214" i="3"/>
  <c r="CM214" i="3"/>
  <c r="CL214" i="3"/>
  <c r="CK214" i="3"/>
  <c r="CJ214" i="3"/>
  <c r="CI214" i="3"/>
  <c r="CH214" i="3"/>
  <c r="CG214" i="3"/>
  <c r="CF214" i="3"/>
  <c r="CE214" i="3"/>
  <c r="CD214" i="3"/>
  <c r="CC214" i="3"/>
  <c r="CB214" i="3"/>
  <c r="CA214" i="3"/>
  <c r="BZ214" i="3"/>
  <c r="BY214" i="3"/>
  <c r="BX214" i="3"/>
  <c r="BW214" i="3"/>
  <c r="BV214" i="3"/>
  <c r="BU214" i="3"/>
  <c r="BT214" i="3"/>
  <c r="BS214" i="3"/>
  <c r="BR214" i="3"/>
  <c r="BQ214" i="3"/>
  <c r="BP214" i="3"/>
  <c r="BO214" i="3"/>
  <c r="BN214" i="3"/>
  <c r="DU213" i="3"/>
  <c r="DT213" i="3"/>
  <c r="DS213" i="3"/>
  <c r="DR213" i="3"/>
  <c r="DQ213" i="3"/>
  <c r="DP213" i="3"/>
  <c r="DO213" i="3"/>
  <c r="DN213" i="3"/>
  <c r="DM213" i="3"/>
  <c r="DL213" i="3"/>
  <c r="DK213" i="3"/>
  <c r="DJ213" i="3"/>
  <c r="DI213" i="3"/>
  <c r="DH213" i="3"/>
  <c r="DG213" i="3"/>
  <c r="DF213" i="3"/>
  <c r="DE213" i="3"/>
  <c r="DD213" i="3"/>
  <c r="DC213" i="3"/>
  <c r="DB213" i="3"/>
  <c r="DA213" i="3"/>
  <c r="CZ213" i="3"/>
  <c r="CY213" i="3"/>
  <c r="CX213" i="3"/>
  <c r="CW213" i="3"/>
  <c r="CV213" i="3"/>
  <c r="CU213" i="3"/>
  <c r="CT213" i="3"/>
  <c r="CS213" i="3"/>
  <c r="CR213" i="3"/>
  <c r="CQ213" i="3"/>
  <c r="CP213" i="3"/>
  <c r="CO213" i="3"/>
  <c r="CN213" i="3"/>
  <c r="CM213" i="3"/>
  <c r="CL213" i="3"/>
  <c r="CK213" i="3"/>
  <c r="CJ213" i="3"/>
  <c r="CI213" i="3"/>
  <c r="CH213" i="3"/>
  <c r="CG213" i="3"/>
  <c r="CF213" i="3"/>
  <c r="CE213" i="3"/>
  <c r="CD213" i="3"/>
  <c r="CC213" i="3"/>
  <c r="CB213" i="3"/>
  <c r="CA213" i="3"/>
  <c r="BZ213" i="3"/>
  <c r="BY213" i="3"/>
  <c r="BX213" i="3"/>
  <c r="BW213" i="3"/>
  <c r="BV213" i="3"/>
  <c r="BU213" i="3"/>
  <c r="BT213" i="3"/>
  <c r="BS213" i="3"/>
  <c r="BR213" i="3"/>
  <c r="BQ213" i="3"/>
  <c r="BP213" i="3"/>
  <c r="BO213" i="3"/>
  <c r="BN213" i="3"/>
  <c r="DU212" i="3"/>
  <c r="DT212" i="3"/>
  <c r="DS212" i="3"/>
  <c r="DR212" i="3"/>
  <c r="DQ212" i="3"/>
  <c r="DP212" i="3"/>
  <c r="DO212" i="3"/>
  <c r="DN212" i="3"/>
  <c r="DM212" i="3"/>
  <c r="DL212" i="3"/>
  <c r="DK212" i="3"/>
  <c r="DJ212" i="3"/>
  <c r="DI212" i="3"/>
  <c r="DH212" i="3"/>
  <c r="DG212" i="3"/>
  <c r="DF212" i="3"/>
  <c r="DE212" i="3"/>
  <c r="DD212" i="3"/>
  <c r="DC212" i="3"/>
  <c r="DB212" i="3"/>
  <c r="DA212" i="3"/>
  <c r="CZ212" i="3"/>
  <c r="CY212" i="3"/>
  <c r="CX212" i="3"/>
  <c r="CW212" i="3"/>
  <c r="CV212" i="3"/>
  <c r="CU212" i="3"/>
  <c r="CT212" i="3"/>
  <c r="CS212" i="3"/>
  <c r="CR212" i="3"/>
  <c r="CQ212" i="3"/>
  <c r="CP212" i="3"/>
  <c r="CO212" i="3"/>
  <c r="CN212" i="3"/>
  <c r="CM212" i="3"/>
  <c r="CL212" i="3"/>
  <c r="CK212" i="3"/>
  <c r="CJ212" i="3"/>
  <c r="CI212" i="3"/>
  <c r="CH212" i="3"/>
  <c r="CG212" i="3"/>
  <c r="CF212" i="3"/>
  <c r="CE212" i="3"/>
  <c r="CD212" i="3"/>
  <c r="CC212" i="3"/>
  <c r="CB212" i="3"/>
  <c r="CA212" i="3"/>
  <c r="BZ212" i="3"/>
  <c r="BY212" i="3"/>
  <c r="BX212" i="3"/>
  <c r="BW212" i="3"/>
  <c r="BV212" i="3"/>
  <c r="BU212" i="3"/>
  <c r="BT212" i="3"/>
  <c r="BS212" i="3"/>
  <c r="BR212" i="3"/>
  <c r="BQ212" i="3"/>
  <c r="BP212" i="3"/>
  <c r="BO212" i="3"/>
  <c r="BN212" i="3"/>
  <c r="DU211" i="3"/>
  <c r="DT211" i="3"/>
  <c r="DS211" i="3"/>
  <c r="DR211" i="3"/>
  <c r="DQ211" i="3"/>
  <c r="DP211" i="3"/>
  <c r="DO211" i="3"/>
  <c r="DN211" i="3"/>
  <c r="DM211" i="3"/>
  <c r="DL211" i="3"/>
  <c r="DK211" i="3"/>
  <c r="DJ211" i="3"/>
  <c r="DI211" i="3"/>
  <c r="DH211" i="3"/>
  <c r="DG211" i="3"/>
  <c r="DF211" i="3"/>
  <c r="DE211" i="3"/>
  <c r="DD211" i="3"/>
  <c r="DC211" i="3"/>
  <c r="DB211" i="3"/>
  <c r="DA211" i="3"/>
  <c r="CZ211" i="3"/>
  <c r="CY211" i="3"/>
  <c r="CX211" i="3"/>
  <c r="CW211" i="3"/>
  <c r="CV211" i="3"/>
  <c r="CU211" i="3"/>
  <c r="CT211" i="3"/>
  <c r="CS211" i="3"/>
  <c r="CR211" i="3"/>
  <c r="CQ211" i="3"/>
  <c r="CP211" i="3"/>
  <c r="CO211" i="3"/>
  <c r="CN211" i="3"/>
  <c r="CM211" i="3"/>
  <c r="CL211" i="3"/>
  <c r="CK211" i="3"/>
  <c r="CJ211" i="3"/>
  <c r="CI211" i="3"/>
  <c r="CH211" i="3"/>
  <c r="CG211" i="3"/>
  <c r="CF211" i="3"/>
  <c r="CE211" i="3"/>
  <c r="CD211" i="3"/>
  <c r="CC211" i="3"/>
  <c r="CB211" i="3"/>
  <c r="CA211" i="3"/>
  <c r="BZ211" i="3"/>
  <c r="BY211" i="3"/>
  <c r="BX211" i="3"/>
  <c r="BW211" i="3"/>
  <c r="BV211" i="3"/>
  <c r="BU211" i="3"/>
  <c r="BT211" i="3"/>
  <c r="BS211" i="3"/>
  <c r="BR211" i="3"/>
  <c r="BQ211" i="3"/>
  <c r="BP211" i="3"/>
  <c r="BO211" i="3"/>
  <c r="BN211" i="3"/>
  <c r="DU210" i="3"/>
  <c r="DT210" i="3"/>
  <c r="DS210" i="3"/>
  <c r="DR210" i="3"/>
  <c r="DQ210" i="3"/>
  <c r="DP210" i="3"/>
  <c r="DO210" i="3"/>
  <c r="DN210" i="3"/>
  <c r="DM210" i="3"/>
  <c r="DL210" i="3"/>
  <c r="DK210" i="3"/>
  <c r="DJ210" i="3"/>
  <c r="DI210" i="3"/>
  <c r="DH210" i="3"/>
  <c r="DG210" i="3"/>
  <c r="DF210" i="3"/>
  <c r="DE210" i="3"/>
  <c r="DD210" i="3"/>
  <c r="DC210" i="3"/>
  <c r="DB210" i="3"/>
  <c r="DA210" i="3"/>
  <c r="CZ210" i="3"/>
  <c r="CY210" i="3"/>
  <c r="CX210" i="3"/>
  <c r="CW210" i="3"/>
  <c r="CV210" i="3"/>
  <c r="CU210" i="3"/>
  <c r="CT210" i="3"/>
  <c r="CS210" i="3"/>
  <c r="CR210" i="3"/>
  <c r="CQ210" i="3"/>
  <c r="CP210" i="3"/>
  <c r="CO210" i="3"/>
  <c r="CN210" i="3"/>
  <c r="CM210" i="3"/>
  <c r="CL210" i="3"/>
  <c r="CK210" i="3"/>
  <c r="CJ210" i="3"/>
  <c r="CI210" i="3"/>
  <c r="CH210" i="3"/>
  <c r="CG210" i="3"/>
  <c r="CF210" i="3"/>
  <c r="CE210" i="3"/>
  <c r="CD210" i="3"/>
  <c r="CC210" i="3"/>
  <c r="CB210" i="3"/>
  <c r="CA210" i="3"/>
  <c r="BZ210" i="3"/>
  <c r="BY210" i="3"/>
  <c r="BX210" i="3"/>
  <c r="BW210" i="3"/>
  <c r="BV210" i="3"/>
  <c r="BU210" i="3"/>
  <c r="BT210" i="3"/>
  <c r="BS210" i="3"/>
  <c r="BR210" i="3"/>
  <c r="BQ210" i="3"/>
  <c r="BP210" i="3"/>
  <c r="BO210" i="3"/>
  <c r="BN210" i="3"/>
  <c r="DU209" i="3"/>
  <c r="DT209" i="3"/>
  <c r="DS209" i="3"/>
  <c r="DR209" i="3"/>
  <c r="DQ209" i="3"/>
  <c r="DP209" i="3"/>
  <c r="DO209" i="3"/>
  <c r="DN209" i="3"/>
  <c r="DM209" i="3"/>
  <c r="DL209" i="3"/>
  <c r="DK209" i="3"/>
  <c r="DJ209" i="3"/>
  <c r="DI209" i="3"/>
  <c r="DH209" i="3"/>
  <c r="DG209" i="3"/>
  <c r="DF209" i="3"/>
  <c r="DE209" i="3"/>
  <c r="DD209" i="3"/>
  <c r="DC209" i="3"/>
  <c r="DB209" i="3"/>
  <c r="DA209" i="3"/>
  <c r="CZ209" i="3"/>
  <c r="CY209" i="3"/>
  <c r="CX209" i="3"/>
  <c r="CW209" i="3"/>
  <c r="CV209" i="3"/>
  <c r="CU209" i="3"/>
  <c r="CT209" i="3"/>
  <c r="CS209" i="3"/>
  <c r="CR209" i="3"/>
  <c r="CQ209" i="3"/>
  <c r="CP209" i="3"/>
  <c r="CO209" i="3"/>
  <c r="CN209" i="3"/>
  <c r="CM209" i="3"/>
  <c r="CL209" i="3"/>
  <c r="CK209" i="3"/>
  <c r="CJ209" i="3"/>
  <c r="CI209" i="3"/>
  <c r="CH209" i="3"/>
  <c r="CG209" i="3"/>
  <c r="CF209" i="3"/>
  <c r="CE209" i="3"/>
  <c r="CD209" i="3"/>
  <c r="CC209" i="3"/>
  <c r="CB209" i="3"/>
  <c r="CA209" i="3"/>
  <c r="BZ209" i="3"/>
  <c r="BY209" i="3"/>
  <c r="BX209" i="3"/>
  <c r="BW209" i="3"/>
  <c r="BV209" i="3"/>
  <c r="BU209" i="3"/>
  <c r="BT209" i="3"/>
  <c r="BS209" i="3"/>
  <c r="BR209" i="3"/>
  <c r="BQ209" i="3"/>
  <c r="BP209" i="3"/>
  <c r="BO209" i="3"/>
  <c r="BN209" i="3"/>
  <c r="DU208" i="3"/>
  <c r="DT208" i="3"/>
  <c r="DS208" i="3"/>
  <c r="DR208" i="3"/>
  <c r="DQ208" i="3"/>
  <c r="DP208" i="3"/>
  <c r="DO208" i="3"/>
  <c r="DN208" i="3"/>
  <c r="DM208" i="3"/>
  <c r="DL208" i="3"/>
  <c r="DK208" i="3"/>
  <c r="DJ208" i="3"/>
  <c r="DI208" i="3"/>
  <c r="DH208" i="3"/>
  <c r="DG208" i="3"/>
  <c r="DF208" i="3"/>
  <c r="DE208" i="3"/>
  <c r="DD208" i="3"/>
  <c r="DC208" i="3"/>
  <c r="DB208" i="3"/>
  <c r="DA208" i="3"/>
  <c r="CZ208" i="3"/>
  <c r="CY208" i="3"/>
  <c r="CX208" i="3"/>
  <c r="CW208" i="3"/>
  <c r="CV208" i="3"/>
  <c r="CU208" i="3"/>
  <c r="CT208" i="3"/>
  <c r="CS208" i="3"/>
  <c r="CR208" i="3"/>
  <c r="CQ208" i="3"/>
  <c r="CP208" i="3"/>
  <c r="CO208" i="3"/>
  <c r="CN208" i="3"/>
  <c r="CM208" i="3"/>
  <c r="CL208" i="3"/>
  <c r="CK208" i="3"/>
  <c r="CJ208" i="3"/>
  <c r="CI208" i="3"/>
  <c r="CH208" i="3"/>
  <c r="CG208" i="3"/>
  <c r="CF208" i="3"/>
  <c r="CE208" i="3"/>
  <c r="CD208" i="3"/>
  <c r="CC208" i="3"/>
  <c r="CB208" i="3"/>
  <c r="CA208" i="3"/>
  <c r="BZ208" i="3"/>
  <c r="BY208" i="3"/>
  <c r="BX208" i="3"/>
  <c r="BW208" i="3"/>
  <c r="BV208" i="3"/>
  <c r="BU208" i="3"/>
  <c r="BT208" i="3"/>
  <c r="BS208" i="3"/>
  <c r="BR208" i="3"/>
  <c r="BQ208" i="3"/>
  <c r="BP208" i="3"/>
  <c r="BO208" i="3"/>
  <c r="BN208" i="3"/>
  <c r="DU207" i="3"/>
  <c r="DT207" i="3"/>
  <c r="DS207" i="3"/>
  <c r="DR207" i="3"/>
  <c r="DQ207" i="3"/>
  <c r="DP207" i="3"/>
  <c r="DO207" i="3"/>
  <c r="DN207" i="3"/>
  <c r="DM207" i="3"/>
  <c r="DL207" i="3"/>
  <c r="DK207" i="3"/>
  <c r="DJ207" i="3"/>
  <c r="DI207" i="3"/>
  <c r="DH207" i="3"/>
  <c r="DG207" i="3"/>
  <c r="DF207" i="3"/>
  <c r="DE207" i="3"/>
  <c r="DD207" i="3"/>
  <c r="DC207" i="3"/>
  <c r="DB207" i="3"/>
  <c r="DA207" i="3"/>
  <c r="CZ207" i="3"/>
  <c r="CY207" i="3"/>
  <c r="CX207" i="3"/>
  <c r="CW207" i="3"/>
  <c r="CV207" i="3"/>
  <c r="CU207" i="3"/>
  <c r="CT207" i="3"/>
  <c r="CS207" i="3"/>
  <c r="CR207" i="3"/>
  <c r="CQ207" i="3"/>
  <c r="CP207" i="3"/>
  <c r="CO207" i="3"/>
  <c r="CN207" i="3"/>
  <c r="CM207" i="3"/>
  <c r="CL207" i="3"/>
  <c r="CK207" i="3"/>
  <c r="CJ207" i="3"/>
  <c r="CI207" i="3"/>
  <c r="CH207" i="3"/>
  <c r="CG207" i="3"/>
  <c r="CF207" i="3"/>
  <c r="CE207" i="3"/>
  <c r="CD207" i="3"/>
  <c r="CC207" i="3"/>
  <c r="CB207" i="3"/>
  <c r="CA207" i="3"/>
  <c r="BZ207" i="3"/>
  <c r="BY207" i="3"/>
  <c r="BX207" i="3"/>
  <c r="BW207" i="3"/>
  <c r="BV207" i="3"/>
  <c r="BU207" i="3"/>
  <c r="BT207" i="3"/>
  <c r="BS207" i="3"/>
  <c r="BR207" i="3"/>
  <c r="BQ207" i="3"/>
  <c r="BP207" i="3"/>
  <c r="BO207" i="3"/>
  <c r="BN207" i="3"/>
  <c r="DU206" i="3"/>
  <c r="DT206" i="3"/>
  <c r="DS206" i="3"/>
  <c r="DR206" i="3"/>
  <c r="DQ206" i="3"/>
  <c r="DP206" i="3"/>
  <c r="DO206" i="3"/>
  <c r="DN206" i="3"/>
  <c r="DM206" i="3"/>
  <c r="DL206" i="3"/>
  <c r="DK206" i="3"/>
  <c r="DJ206" i="3"/>
  <c r="DI206" i="3"/>
  <c r="DH206" i="3"/>
  <c r="DG206" i="3"/>
  <c r="DF206" i="3"/>
  <c r="DE206" i="3"/>
  <c r="DD206" i="3"/>
  <c r="DC206" i="3"/>
  <c r="DB206" i="3"/>
  <c r="DA206" i="3"/>
  <c r="CZ206" i="3"/>
  <c r="CY206" i="3"/>
  <c r="CX206" i="3"/>
  <c r="CW206" i="3"/>
  <c r="CV206" i="3"/>
  <c r="CU206" i="3"/>
  <c r="CT206" i="3"/>
  <c r="CS206" i="3"/>
  <c r="CR206" i="3"/>
  <c r="CQ206" i="3"/>
  <c r="CP206" i="3"/>
  <c r="CO206" i="3"/>
  <c r="CN206" i="3"/>
  <c r="CM206" i="3"/>
  <c r="CL206" i="3"/>
  <c r="CK206" i="3"/>
  <c r="CJ206" i="3"/>
  <c r="CI206" i="3"/>
  <c r="CH206" i="3"/>
  <c r="CG206" i="3"/>
  <c r="CF206" i="3"/>
  <c r="CE206" i="3"/>
  <c r="CD206" i="3"/>
  <c r="CC206" i="3"/>
  <c r="CB206" i="3"/>
  <c r="CA206" i="3"/>
  <c r="BZ206" i="3"/>
  <c r="BY206" i="3"/>
  <c r="BX206" i="3"/>
  <c r="BW206" i="3"/>
  <c r="BV206" i="3"/>
  <c r="BU206" i="3"/>
  <c r="BT206" i="3"/>
  <c r="BS206" i="3"/>
  <c r="BR206" i="3"/>
  <c r="BQ206" i="3"/>
  <c r="BP206" i="3"/>
  <c r="BO206" i="3"/>
  <c r="BN206" i="3"/>
  <c r="DU205" i="3"/>
  <c r="DT205" i="3"/>
  <c r="DS205" i="3"/>
  <c r="DR205" i="3"/>
  <c r="DQ205" i="3"/>
  <c r="DP205" i="3"/>
  <c r="DO205" i="3"/>
  <c r="DN205" i="3"/>
  <c r="DM205" i="3"/>
  <c r="DL205" i="3"/>
  <c r="DK205" i="3"/>
  <c r="DJ205" i="3"/>
  <c r="DI205" i="3"/>
  <c r="DH205" i="3"/>
  <c r="DG205" i="3"/>
  <c r="DF205" i="3"/>
  <c r="DE205" i="3"/>
  <c r="DD205" i="3"/>
  <c r="DC205" i="3"/>
  <c r="DB205" i="3"/>
  <c r="DA205" i="3"/>
  <c r="CZ205" i="3"/>
  <c r="CY205" i="3"/>
  <c r="CX205" i="3"/>
  <c r="CW205" i="3"/>
  <c r="CV205" i="3"/>
  <c r="CU205" i="3"/>
  <c r="CT205" i="3"/>
  <c r="CS205" i="3"/>
  <c r="CR205" i="3"/>
  <c r="CQ205" i="3"/>
  <c r="CP205" i="3"/>
  <c r="CO205" i="3"/>
  <c r="CN205" i="3"/>
  <c r="CM205" i="3"/>
  <c r="CL205" i="3"/>
  <c r="CK205" i="3"/>
  <c r="CJ205" i="3"/>
  <c r="CI205" i="3"/>
  <c r="CH205" i="3"/>
  <c r="CG205" i="3"/>
  <c r="CF205" i="3"/>
  <c r="CE205" i="3"/>
  <c r="CD205" i="3"/>
  <c r="CC205" i="3"/>
  <c r="CB205" i="3"/>
  <c r="CA205" i="3"/>
  <c r="BZ205" i="3"/>
  <c r="BY205" i="3"/>
  <c r="BX205" i="3"/>
  <c r="BW205" i="3"/>
  <c r="BV205" i="3"/>
  <c r="BU205" i="3"/>
  <c r="BT205" i="3"/>
  <c r="BS205" i="3"/>
  <c r="BR205" i="3"/>
  <c r="BQ205" i="3"/>
  <c r="BP205" i="3"/>
  <c r="BO205" i="3"/>
  <c r="BN205" i="3"/>
  <c r="DU204" i="3"/>
  <c r="DT204" i="3"/>
  <c r="DS204" i="3"/>
  <c r="DR204" i="3"/>
  <c r="DQ204" i="3"/>
  <c r="DP204" i="3"/>
  <c r="DO204" i="3"/>
  <c r="DN204" i="3"/>
  <c r="DM204" i="3"/>
  <c r="DL204" i="3"/>
  <c r="DK204" i="3"/>
  <c r="DJ204" i="3"/>
  <c r="DI204" i="3"/>
  <c r="DH204" i="3"/>
  <c r="DG204" i="3"/>
  <c r="DF204" i="3"/>
  <c r="DE204" i="3"/>
  <c r="DD204" i="3"/>
  <c r="DC204" i="3"/>
  <c r="DB204" i="3"/>
  <c r="DA204" i="3"/>
  <c r="CZ204" i="3"/>
  <c r="CY204" i="3"/>
  <c r="CX204" i="3"/>
  <c r="CW204" i="3"/>
  <c r="CV204" i="3"/>
  <c r="CU204" i="3"/>
  <c r="CT204" i="3"/>
  <c r="CS204" i="3"/>
  <c r="CR204" i="3"/>
  <c r="CQ204" i="3"/>
  <c r="CP204" i="3"/>
  <c r="CO204" i="3"/>
  <c r="CN204" i="3"/>
  <c r="CM204" i="3"/>
  <c r="CL204" i="3"/>
  <c r="CK204" i="3"/>
  <c r="CJ204" i="3"/>
  <c r="CI204" i="3"/>
  <c r="CH204" i="3"/>
  <c r="CG204" i="3"/>
  <c r="CF204" i="3"/>
  <c r="CE204" i="3"/>
  <c r="CD204" i="3"/>
  <c r="CC204" i="3"/>
  <c r="CB204" i="3"/>
  <c r="CA204" i="3"/>
  <c r="BZ204" i="3"/>
  <c r="BY204" i="3"/>
  <c r="BX204" i="3"/>
  <c r="BW204" i="3"/>
  <c r="BV204" i="3"/>
  <c r="BU204" i="3"/>
  <c r="BT204" i="3"/>
  <c r="BS204" i="3"/>
  <c r="BR204" i="3"/>
  <c r="BQ204" i="3"/>
  <c r="BP204" i="3"/>
  <c r="BO204" i="3"/>
  <c r="BN204" i="3"/>
  <c r="DU203" i="3"/>
  <c r="DT203" i="3"/>
  <c r="DS203" i="3"/>
  <c r="DR203" i="3"/>
  <c r="DQ203" i="3"/>
  <c r="DP203" i="3"/>
  <c r="DO203" i="3"/>
  <c r="DN203" i="3"/>
  <c r="DM203" i="3"/>
  <c r="DL203" i="3"/>
  <c r="DK203" i="3"/>
  <c r="DJ203" i="3"/>
  <c r="DI203" i="3"/>
  <c r="DH203" i="3"/>
  <c r="DG203" i="3"/>
  <c r="DF203" i="3"/>
  <c r="DE203" i="3"/>
  <c r="DD203" i="3"/>
  <c r="DC203" i="3"/>
  <c r="DB203" i="3"/>
  <c r="DA203" i="3"/>
  <c r="CZ203" i="3"/>
  <c r="CY203" i="3"/>
  <c r="CX203" i="3"/>
  <c r="CW203" i="3"/>
  <c r="CV203" i="3"/>
  <c r="CU203" i="3"/>
  <c r="CT203" i="3"/>
  <c r="CS203" i="3"/>
  <c r="CR203" i="3"/>
  <c r="CQ203" i="3"/>
  <c r="CP203" i="3"/>
  <c r="CO203" i="3"/>
  <c r="CN203" i="3"/>
  <c r="CM203" i="3"/>
  <c r="CL203" i="3"/>
  <c r="CK203" i="3"/>
  <c r="CJ203" i="3"/>
  <c r="CI203" i="3"/>
  <c r="CH203" i="3"/>
  <c r="CG203" i="3"/>
  <c r="CF203" i="3"/>
  <c r="CE203" i="3"/>
  <c r="CD203" i="3"/>
  <c r="CC203" i="3"/>
  <c r="CB203" i="3"/>
  <c r="CA203" i="3"/>
  <c r="BZ203" i="3"/>
  <c r="BY203" i="3"/>
  <c r="BX203" i="3"/>
  <c r="BW203" i="3"/>
  <c r="BV203" i="3"/>
  <c r="BU203" i="3"/>
  <c r="BT203" i="3"/>
  <c r="BS203" i="3"/>
  <c r="BR203" i="3"/>
  <c r="BQ203" i="3"/>
  <c r="BP203" i="3"/>
  <c r="BO203" i="3"/>
  <c r="BN203" i="3"/>
  <c r="DU202" i="3"/>
  <c r="DT202" i="3"/>
  <c r="DS202" i="3"/>
  <c r="DR202" i="3"/>
  <c r="DQ202" i="3"/>
  <c r="DP202" i="3"/>
  <c r="DO202" i="3"/>
  <c r="DN202" i="3"/>
  <c r="DM202" i="3"/>
  <c r="DL202" i="3"/>
  <c r="DK202" i="3"/>
  <c r="DJ202" i="3"/>
  <c r="DI202" i="3"/>
  <c r="DH202" i="3"/>
  <c r="DG202" i="3"/>
  <c r="DF202" i="3"/>
  <c r="DE202" i="3"/>
  <c r="DD202" i="3"/>
  <c r="DC202" i="3"/>
  <c r="DB202" i="3"/>
  <c r="DA202" i="3"/>
  <c r="CZ202" i="3"/>
  <c r="CY202" i="3"/>
  <c r="CX202" i="3"/>
  <c r="CW202" i="3"/>
  <c r="CV202" i="3"/>
  <c r="CU202" i="3"/>
  <c r="CT202" i="3"/>
  <c r="CS202" i="3"/>
  <c r="CR202" i="3"/>
  <c r="CQ202" i="3"/>
  <c r="CP202" i="3"/>
  <c r="CO202" i="3"/>
  <c r="CN202" i="3"/>
  <c r="CM202" i="3"/>
  <c r="CL202" i="3"/>
  <c r="CK202" i="3"/>
  <c r="CJ202" i="3"/>
  <c r="CI202" i="3"/>
  <c r="CH202" i="3"/>
  <c r="CG202" i="3"/>
  <c r="CF202" i="3"/>
  <c r="CE202" i="3"/>
  <c r="CD202" i="3"/>
  <c r="CC202" i="3"/>
  <c r="CB202" i="3"/>
  <c r="CA202" i="3"/>
  <c r="BZ202" i="3"/>
  <c r="BY202" i="3"/>
  <c r="BX202" i="3"/>
  <c r="BW202" i="3"/>
  <c r="BV202" i="3"/>
  <c r="BU202" i="3"/>
  <c r="BT202" i="3"/>
  <c r="BS202" i="3"/>
  <c r="BR202" i="3"/>
  <c r="BQ202" i="3"/>
  <c r="BP202" i="3"/>
  <c r="BO202" i="3"/>
  <c r="BN202" i="3"/>
  <c r="DU201" i="3"/>
  <c r="DT201" i="3"/>
  <c r="DS201" i="3"/>
  <c r="DR201" i="3"/>
  <c r="DQ201" i="3"/>
  <c r="DP201" i="3"/>
  <c r="DO201" i="3"/>
  <c r="DN201" i="3"/>
  <c r="DM201" i="3"/>
  <c r="DL201" i="3"/>
  <c r="DK201" i="3"/>
  <c r="DJ201" i="3"/>
  <c r="DI201" i="3"/>
  <c r="DH201" i="3"/>
  <c r="DG201" i="3"/>
  <c r="DF201" i="3"/>
  <c r="DE201" i="3"/>
  <c r="DD201" i="3"/>
  <c r="DC201" i="3"/>
  <c r="DB201" i="3"/>
  <c r="DA201" i="3"/>
  <c r="CZ201" i="3"/>
  <c r="CY201" i="3"/>
  <c r="CX201" i="3"/>
  <c r="CW201" i="3"/>
  <c r="CV201" i="3"/>
  <c r="CU201" i="3"/>
  <c r="CT201" i="3"/>
  <c r="CS201" i="3"/>
  <c r="CR201" i="3"/>
  <c r="CQ201" i="3"/>
  <c r="CP201" i="3"/>
  <c r="CO201" i="3"/>
  <c r="CN201" i="3"/>
  <c r="CM201" i="3"/>
  <c r="CL201" i="3"/>
  <c r="CK201" i="3"/>
  <c r="CJ201" i="3"/>
  <c r="CI201" i="3"/>
  <c r="CH201" i="3"/>
  <c r="CG201" i="3"/>
  <c r="CF201" i="3"/>
  <c r="CE201" i="3"/>
  <c r="CD201" i="3"/>
  <c r="CC201" i="3"/>
  <c r="CB201" i="3"/>
  <c r="CA201" i="3"/>
  <c r="BZ201" i="3"/>
  <c r="BY201" i="3"/>
  <c r="BX201" i="3"/>
  <c r="BW201" i="3"/>
  <c r="BV201" i="3"/>
  <c r="BU201" i="3"/>
  <c r="BT201" i="3"/>
  <c r="BS201" i="3"/>
  <c r="BR201" i="3"/>
  <c r="BQ201" i="3"/>
  <c r="BP201" i="3"/>
  <c r="BO201" i="3"/>
  <c r="BN201" i="3"/>
  <c r="DU200" i="3"/>
  <c r="DT200" i="3"/>
  <c r="DS200" i="3"/>
  <c r="DR200" i="3"/>
  <c r="DQ200" i="3"/>
  <c r="DP200" i="3"/>
  <c r="DO200" i="3"/>
  <c r="DN200" i="3"/>
  <c r="DM200" i="3"/>
  <c r="DL200" i="3"/>
  <c r="DK200" i="3"/>
  <c r="DJ200" i="3"/>
  <c r="DI200" i="3"/>
  <c r="DH200" i="3"/>
  <c r="DG200" i="3"/>
  <c r="DF200" i="3"/>
  <c r="DE200" i="3"/>
  <c r="DD200" i="3"/>
  <c r="DC200" i="3"/>
  <c r="DB200" i="3"/>
  <c r="DA200" i="3"/>
  <c r="CZ200" i="3"/>
  <c r="CY200" i="3"/>
  <c r="CX200" i="3"/>
  <c r="CW200" i="3"/>
  <c r="CV200" i="3"/>
  <c r="CU200" i="3"/>
  <c r="CT200" i="3"/>
  <c r="CS200" i="3"/>
  <c r="CR200" i="3"/>
  <c r="CQ200" i="3"/>
  <c r="CP200" i="3"/>
  <c r="CO200" i="3"/>
  <c r="CN200" i="3"/>
  <c r="CM200" i="3"/>
  <c r="CL200" i="3"/>
  <c r="CK200" i="3"/>
  <c r="CJ200" i="3"/>
  <c r="CI200" i="3"/>
  <c r="CH200" i="3"/>
  <c r="CG200" i="3"/>
  <c r="CF200" i="3"/>
  <c r="CE200" i="3"/>
  <c r="CD200" i="3"/>
  <c r="CC200" i="3"/>
  <c r="CB200" i="3"/>
  <c r="CA200" i="3"/>
  <c r="BZ200" i="3"/>
  <c r="BY200" i="3"/>
  <c r="BX200" i="3"/>
  <c r="BW200" i="3"/>
  <c r="BV200" i="3"/>
  <c r="BU200" i="3"/>
  <c r="BT200" i="3"/>
  <c r="BS200" i="3"/>
  <c r="BR200" i="3"/>
  <c r="BQ200" i="3"/>
  <c r="BP200" i="3"/>
  <c r="BO200" i="3"/>
  <c r="BN200" i="3"/>
  <c r="DU199" i="3"/>
  <c r="DT199" i="3"/>
  <c r="DS199" i="3"/>
  <c r="DR199" i="3"/>
  <c r="DQ199" i="3"/>
  <c r="DP199" i="3"/>
  <c r="DO199" i="3"/>
  <c r="DN199" i="3"/>
  <c r="DM199" i="3"/>
  <c r="DL199" i="3"/>
  <c r="DK199" i="3"/>
  <c r="DJ199" i="3"/>
  <c r="DI199" i="3"/>
  <c r="DH199" i="3"/>
  <c r="DG199" i="3"/>
  <c r="DF199" i="3"/>
  <c r="DE199" i="3"/>
  <c r="DD199" i="3"/>
  <c r="DC199" i="3"/>
  <c r="DB199" i="3"/>
  <c r="DA199" i="3"/>
  <c r="CZ199" i="3"/>
  <c r="CY199" i="3"/>
  <c r="CX199" i="3"/>
  <c r="CW199" i="3"/>
  <c r="CV199" i="3"/>
  <c r="CU199" i="3"/>
  <c r="CT199" i="3"/>
  <c r="CS199" i="3"/>
  <c r="CR199" i="3"/>
  <c r="CQ199" i="3"/>
  <c r="CP199" i="3"/>
  <c r="CO199" i="3"/>
  <c r="CN199" i="3"/>
  <c r="CM199" i="3"/>
  <c r="CL199" i="3"/>
  <c r="CK199" i="3"/>
  <c r="CJ199" i="3"/>
  <c r="CI199" i="3"/>
  <c r="CH199" i="3"/>
  <c r="CG199" i="3"/>
  <c r="CF199" i="3"/>
  <c r="CE199" i="3"/>
  <c r="CD199" i="3"/>
  <c r="CC199" i="3"/>
  <c r="CB199" i="3"/>
  <c r="CA199" i="3"/>
  <c r="BZ199" i="3"/>
  <c r="BY199" i="3"/>
  <c r="BX199" i="3"/>
  <c r="BW199" i="3"/>
  <c r="BV199" i="3"/>
  <c r="BU199" i="3"/>
  <c r="BT199" i="3"/>
  <c r="BS199" i="3"/>
  <c r="BR199" i="3"/>
  <c r="BQ199" i="3"/>
  <c r="BP199" i="3"/>
  <c r="BO199" i="3"/>
  <c r="BN199" i="3"/>
  <c r="DU198" i="3"/>
  <c r="DT198" i="3"/>
  <c r="DS198" i="3"/>
  <c r="DR198" i="3"/>
  <c r="DQ198" i="3"/>
  <c r="DP198" i="3"/>
  <c r="DO198" i="3"/>
  <c r="DN198" i="3"/>
  <c r="DM198" i="3"/>
  <c r="DL198" i="3"/>
  <c r="DK198" i="3"/>
  <c r="DJ198" i="3"/>
  <c r="DI198" i="3"/>
  <c r="DH198" i="3"/>
  <c r="DG198" i="3"/>
  <c r="DF198" i="3"/>
  <c r="DE198" i="3"/>
  <c r="DD198" i="3"/>
  <c r="DC198" i="3"/>
  <c r="DB198" i="3"/>
  <c r="DA198" i="3"/>
  <c r="CZ198" i="3"/>
  <c r="CY198" i="3"/>
  <c r="CX198" i="3"/>
  <c r="CW198" i="3"/>
  <c r="CV198" i="3"/>
  <c r="CU198" i="3"/>
  <c r="CT198" i="3"/>
  <c r="CS198" i="3"/>
  <c r="CR198" i="3"/>
  <c r="CQ198" i="3"/>
  <c r="CP198" i="3"/>
  <c r="CO198" i="3"/>
  <c r="CN198" i="3"/>
  <c r="CM198" i="3"/>
  <c r="CL198" i="3"/>
  <c r="CK198" i="3"/>
  <c r="CJ198" i="3"/>
  <c r="CI198" i="3"/>
  <c r="CH198" i="3"/>
  <c r="CG198" i="3"/>
  <c r="CF198" i="3"/>
  <c r="CE198" i="3"/>
  <c r="CD198" i="3"/>
  <c r="CC198" i="3"/>
  <c r="CB198" i="3"/>
  <c r="CA198" i="3"/>
  <c r="BZ198" i="3"/>
  <c r="BY198" i="3"/>
  <c r="BX198" i="3"/>
  <c r="BW198" i="3"/>
  <c r="BV198" i="3"/>
  <c r="BU198" i="3"/>
  <c r="BT198" i="3"/>
  <c r="BS198" i="3"/>
  <c r="BR198" i="3"/>
  <c r="BQ198" i="3"/>
  <c r="BP198" i="3"/>
  <c r="BO198" i="3"/>
  <c r="BN198" i="3"/>
  <c r="DU197" i="3"/>
  <c r="DT197" i="3"/>
  <c r="DS197" i="3"/>
  <c r="DR197" i="3"/>
  <c r="DQ197" i="3"/>
  <c r="DP197" i="3"/>
  <c r="DO197" i="3"/>
  <c r="DN197" i="3"/>
  <c r="DM197" i="3"/>
  <c r="DL197" i="3"/>
  <c r="DK197" i="3"/>
  <c r="DJ197" i="3"/>
  <c r="DI197" i="3"/>
  <c r="DH197" i="3"/>
  <c r="DG197" i="3"/>
  <c r="DF197" i="3"/>
  <c r="DE197" i="3"/>
  <c r="DD197" i="3"/>
  <c r="DC197" i="3"/>
  <c r="DB197" i="3"/>
  <c r="DA197" i="3"/>
  <c r="CZ197" i="3"/>
  <c r="CY197" i="3"/>
  <c r="CX197" i="3"/>
  <c r="CW197" i="3"/>
  <c r="CV197" i="3"/>
  <c r="CU197" i="3"/>
  <c r="CT197" i="3"/>
  <c r="CS197" i="3"/>
  <c r="CR197" i="3"/>
  <c r="CQ197" i="3"/>
  <c r="CP197" i="3"/>
  <c r="CO197" i="3"/>
  <c r="CN197" i="3"/>
  <c r="CM197" i="3"/>
  <c r="CL197" i="3"/>
  <c r="CK197" i="3"/>
  <c r="CJ197" i="3"/>
  <c r="CI197" i="3"/>
  <c r="CH197" i="3"/>
  <c r="CG197" i="3"/>
  <c r="CF197" i="3"/>
  <c r="CE197" i="3"/>
  <c r="CD197" i="3"/>
  <c r="CC197" i="3"/>
  <c r="CB197" i="3"/>
  <c r="CA197" i="3"/>
  <c r="BZ197" i="3"/>
  <c r="BY197" i="3"/>
  <c r="BX197" i="3"/>
  <c r="BW197" i="3"/>
  <c r="BV197" i="3"/>
  <c r="BU197" i="3"/>
  <c r="BT197" i="3"/>
  <c r="BS197" i="3"/>
  <c r="BR197" i="3"/>
  <c r="BQ197" i="3"/>
  <c r="BP197" i="3"/>
  <c r="BO197" i="3"/>
  <c r="BN197" i="3"/>
  <c r="DU196" i="3"/>
  <c r="DT196" i="3"/>
  <c r="DS196" i="3"/>
  <c r="DR196" i="3"/>
  <c r="DQ196" i="3"/>
  <c r="DP196" i="3"/>
  <c r="DO196" i="3"/>
  <c r="DN196" i="3"/>
  <c r="DM196" i="3"/>
  <c r="DL196" i="3"/>
  <c r="DK196" i="3"/>
  <c r="DJ196" i="3"/>
  <c r="DI196" i="3"/>
  <c r="DH196" i="3"/>
  <c r="DG196" i="3"/>
  <c r="DF196" i="3"/>
  <c r="DE196" i="3"/>
  <c r="DD196" i="3"/>
  <c r="DC196" i="3"/>
  <c r="DB196" i="3"/>
  <c r="DA196" i="3"/>
  <c r="CZ196" i="3"/>
  <c r="CY196" i="3"/>
  <c r="CX196" i="3"/>
  <c r="CW196" i="3"/>
  <c r="CV196" i="3"/>
  <c r="CU196" i="3"/>
  <c r="CT196" i="3"/>
  <c r="CS196" i="3"/>
  <c r="CR196" i="3"/>
  <c r="CQ196" i="3"/>
  <c r="CP196" i="3"/>
  <c r="CO196" i="3"/>
  <c r="CN196" i="3"/>
  <c r="CM196" i="3"/>
  <c r="CL196" i="3"/>
  <c r="CK196" i="3"/>
  <c r="CJ196" i="3"/>
  <c r="CI196" i="3"/>
  <c r="CH196" i="3"/>
  <c r="CG196" i="3"/>
  <c r="CF196" i="3"/>
  <c r="CE196" i="3"/>
  <c r="CD196" i="3"/>
  <c r="CC196" i="3"/>
  <c r="CB196" i="3"/>
  <c r="CA196" i="3"/>
  <c r="BZ196" i="3"/>
  <c r="BY196" i="3"/>
  <c r="BX196" i="3"/>
  <c r="BW196" i="3"/>
  <c r="BV196" i="3"/>
  <c r="BU196" i="3"/>
  <c r="BT196" i="3"/>
  <c r="BS196" i="3"/>
  <c r="BR196" i="3"/>
  <c r="BQ196" i="3"/>
  <c r="BP196" i="3"/>
  <c r="BO196" i="3"/>
  <c r="BN196" i="3"/>
  <c r="DU195" i="3"/>
  <c r="DT195" i="3"/>
  <c r="DS195" i="3"/>
  <c r="DR195" i="3"/>
  <c r="DQ195" i="3"/>
  <c r="DP195" i="3"/>
  <c r="DO195" i="3"/>
  <c r="DN195" i="3"/>
  <c r="DM195" i="3"/>
  <c r="DL195" i="3"/>
  <c r="DK195" i="3"/>
  <c r="DJ195" i="3"/>
  <c r="DI195" i="3"/>
  <c r="DH195" i="3"/>
  <c r="DG195" i="3"/>
  <c r="DF195" i="3"/>
  <c r="DE195" i="3"/>
  <c r="DD195" i="3"/>
  <c r="DC195" i="3"/>
  <c r="DB195" i="3"/>
  <c r="DA195" i="3"/>
  <c r="CZ195" i="3"/>
  <c r="CY195" i="3"/>
  <c r="CX195" i="3"/>
  <c r="CW195" i="3"/>
  <c r="CV195" i="3"/>
  <c r="CU195" i="3"/>
  <c r="CT195" i="3"/>
  <c r="CS195" i="3"/>
  <c r="CR195" i="3"/>
  <c r="CQ195" i="3"/>
  <c r="CP195" i="3"/>
  <c r="CO195" i="3"/>
  <c r="CN195" i="3"/>
  <c r="CM195" i="3"/>
  <c r="CL195" i="3"/>
  <c r="CK195" i="3"/>
  <c r="CJ195" i="3"/>
  <c r="CI195" i="3"/>
  <c r="CH195" i="3"/>
  <c r="CG195" i="3"/>
  <c r="CF195" i="3"/>
  <c r="CE195" i="3"/>
  <c r="CD195" i="3"/>
  <c r="CC195" i="3"/>
  <c r="CB195" i="3"/>
  <c r="CA195" i="3"/>
  <c r="BZ195" i="3"/>
  <c r="BY195" i="3"/>
  <c r="BX195" i="3"/>
  <c r="BW195" i="3"/>
  <c r="BV195" i="3"/>
  <c r="BU195" i="3"/>
  <c r="BT195" i="3"/>
  <c r="BS195" i="3"/>
  <c r="BR195" i="3"/>
  <c r="BQ195" i="3"/>
  <c r="BP195" i="3"/>
  <c r="BO195" i="3"/>
  <c r="BN195" i="3"/>
  <c r="DU194" i="3"/>
  <c r="DT194" i="3"/>
  <c r="DS194" i="3"/>
  <c r="DR194" i="3"/>
  <c r="DQ194" i="3"/>
  <c r="DP194" i="3"/>
  <c r="DO194" i="3"/>
  <c r="DN194" i="3"/>
  <c r="DM194" i="3"/>
  <c r="DL194" i="3"/>
  <c r="DK194" i="3"/>
  <c r="DJ194" i="3"/>
  <c r="DI194" i="3"/>
  <c r="DH194" i="3"/>
  <c r="DG194" i="3"/>
  <c r="DF194" i="3"/>
  <c r="DE194" i="3"/>
  <c r="DD194" i="3"/>
  <c r="DC194" i="3"/>
  <c r="DB194" i="3"/>
  <c r="DA194" i="3"/>
  <c r="CZ194" i="3"/>
  <c r="CY194" i="3"/>
  <c r="CX194" i="3"/>
  <c r="CW194" i="3"/>
  <c r="CV194" i="3"/>
  <c r="CU194" i="3"/>
  <c r="CT194" i="3"/>
  <c r="CS194" i="3"/>
  <c r="CR194" i="3"/>
  <c r="CQ194" i="3"/>
  <c r="CP194" i="3"/>
  <c r="CO194" i="3"/>
  <c r="CN194" i="3"/>
  <c r="CM194" i="3"/>
  <c r="CL194" i="3"/>
  <c r="CK194" i="3"/>
  <c r="CJ194" i="3"/>
  <c r="CI194" i="3"/>
  <c r="CH194" i="3"/>
  <c r="CG194" i="3"/>
  <c r="CF194" i="3"/>
  <c r="CE194" i="3"/>
  <c r="CD194" i="3"/>
  <c r="CC194" i="3"/>
  <c r="CB194" i="3"/>
  <c r="CA194" i="3"/>
  <c r="BZ194" i="3"/>
  <c r="BY194" i="3"/>
  <c r="BX194" i="3"/>
  <c r="BW194" i="3"/>
  <c r="BV194" i="3"/>
  <c r="BU194" i="3"/>
  <c r="BT194" i="3"/>
  <c r="BS194" i="3"/>
  <c r="BR194" i="3"/>
  <c r="BQ194" i="3"/>
  <c r="BP194" i="3"/>
  <c r="BO194" i="3"/>
  <c r="BN194" i="3"/>
  <c r="DU193" i="3"/>
  <c r="DT193" i="3"/>
  <c r="DS193" i="3"/>
  <c r="DR193" i="3"/>
  <c r="DQ193" i="3"/>
  <c r="DP193" i="3"/>
  <c r="DO193" i="3"/>
  <c r="DN193" i="3"/>
  <c r="DM193" i="3"/>
  <c r="DL193" i="3"/>
  <c r="DK193" i="3"/>
  <c r="DJ193" i="3"/>
  <c r="DI193" i="3"/>
  <c r="DH193" i="3"/>
  <c r="DG193" i="3"/>
  <c r="DF193" i="3"/>
  <c r="DE193" i="3"/>
  <c r="DD193" i="3"/>
  <c r="DC193" i="3"/>
  <c r="DB193" i="3"/>
  <c r="DA193" i="3"/>
  <c r="CZ193" i="3"/>
  <c r="CY193" i="3"/>
  <c r="CX193" i="3"/>
  <c r="CW193" i="3"/>
  <c r="CV193" i="3"/>
  <c r="CU193" i="3"/>
  <c r="CT193" i="3"/>
  <c r="CS193" i="3"/>
  <c r="CR193" i="3"/>
  <c r="CQ193" i="3"/>
  <c r="CP193" i="3"/>
  <c r="CO193" i="3"/>
  <c r="CN193" i="3"/>
  <c r="CM193" i="3"/>
  <c r="CL193" i="3"/>
  <c r="CK193" i="3"/>
  <c r="CJ193" i="3"/>
  <c r="CI193" i="3"/>
  <c r="CH193" i="3"/>
  <c r="CG193" i="3"/>
  <c r="CF193" i="3"/>
  <c r="CE193" i="3"/>
  <c r="CD193" i="3"/>
  <c r="CC193" i="3"/>
  <c r="CB193" i="3"/>
  <c r="CA193" i="3"/>
  <c r="BZ193" i="3"/>
  <c r="BY193" i="3"/>
  <c r="BX193" i="3"/>
  <c r="BW193" i="3"/>
  <c r="BV193" i="3"/>
  <c r="BU193" i="3"/>
  <c r="BT193" i="3"/>
  <c r="BS193" i="3"/>
  <c r="BR193" i="3"/>
  <c r="BQ193" i="3"/>
  <c r="BP193" i="3"/>
  <c r="BO193" i="3"/>
  <c r="BN193" i="3"/>
  <c r="DU192" i="3"/>
  <c r="DT192" i="3"/>
  <c r="DS192" i="3"/>
  <c r="DR192" i="3"/>
  <c r="DQ192" i="3"/>
  <c r="DP192" i="3"/>
  <c r="DO192" i="3"/>
  <c r="DN192" i="3"/>
  <c r="DM192" i="3"/>
  <c r="DL192" i="3"/>
  <c r="DK192" i="3"/>
  <c r="DJ192" i="3"/>
  <c r="DI192" i="3"/>
  <c r="DH192" i="3"/>
  <c r="DG192" i="3"/>
  <c r="DF192" i="3"/>
  <c r="DE192" i="3"/>
  <c r="DD192" i="3"/>
  <c r="DC192" i="3"/>
  <c r="DB192" i="3"/>
  <c r="DA192" i="3"/>
  <c r="CZ192" i="3"/>
  <c r="CY192" i="3"/>
  <c r="CX192" i="3"/>
  <c r="CW192" i="3"/>
  <c r="CV192" i="3"/>
  <c r="CU192" i="3"/>
  <c r="CT192" i="3"/>
  <c r="CS192" i="3"/>
  <c r="CR192" i="3"/>
  <c r="CQ192" i="3"/>
  <c r="CP192" i="3"/>
  <c r="CO192" i="3"/>
  <c r="CN192" i="3"/>
  <c r="CM192" i="3"/>
  <c r="CL192" i="3"/>
  <c r="CK192" i="3"/>
  <c r="CJ192" i="3"/>
  <c r="CI192" i="3"/>
  <c r="CH192" i="3"/>
  <c r="CG192" i="3"/>
  <c r="CF192" i="3"/>
  <c r="CE192" i="3"/>
  <c r="CD192" i="3"/>
  <c r="CC192" i="3"/>
  <c r="CB192" i="3"/>
  <c r="CA192" i="3"/>
  <c r="BZ192" i="3"/>
  <c r="BY192" i="3"/>
  <c r="BX192" i="3"/>
  <c r="BW192" i="3"/>
  <c r="BV192" i="3"/>
  <c r="BU192" i="3"/>
  <c r="BT192" i="3"/>
  <c r="BS192" i="3"/>
  <c r="BR192" i="3"/>
  <c r="BQ192" i="3"/>
  <c r="BP192" i="3"/>
  <c r="BO192" i="3"/>
  <c r="BN192" i="3"/>
  <c r="DU191" i="3"/>
  <c r="DT191" i="3"/>
  <c r="DS191" i="3"/>
  <c r="DR191" i="3"/>
  <c r="DQ191" i="3"/>
  <c r="DP191" i="3"/>
  <c r="DO191" i="3"/>
  <c r="DN191" i="3"/>
  <c r="DM191" i="3"/>
  <c r="DL191" i="3"/>
  <c r="DK191" i="3"/>
  <c r="DJ191" i="3"/>
  <c r="DI191" i="3"/>
  <c r="DH191" i="3"/>
  <c r="DG191" i="3"/>
  <c r="DF191" i="3"/>
  <c r="DE191" i="3"/>
  <c r="DD191" i="3"/>
  <c r="DC191" i="3"/>
  <c r="DB191" i="3"/>
  <c r="DA191" i="3"/>
  <c r="CZ191" i="3"/>
  <c r="CY191" i="3"/>
  <c r="CX191" i="3"/>
  <c r="CW191" i="3"/>
  <c r="CV191" i="3"/>
  <c r="CU191" i="3"/>
  <c r="CT191" i="3"/>
  <c r="CS191" i="3"/>
  <c r="CR191" i="3"/>
  <c r="CQ191" i="3"/>
  <c r="CP191" i="3"/>
  <c r="CO191" i="3"/>
  <c r="CN191" i="3"/>
  <c r="CM191" i="3"/>
  <c r="CL191" i="3"/>
  <c r="CK191" i="3"/>
  <c r="CJ191" i="3"/>
  <c r="CI191" i="3"/>
  <c r="CH191" i="3"/>
  <c r="CG191" i="3"/>
  <c r="CF191" i="3"/>
  <c r="CE191" i="3"/>
  <c r="CD191" i="3"/>
  <c r="CC191" i="3"/>
  <c r="CB191" i="3"/>
  <c r="CA191" i="3"/>
  <c r="BZ191" i="3"/>
  <c r="BY191" i="3"/>
  <c r="BX191" i="3"/>
  <c r="BW191" i="3"/>
  <c r="BV191" i="3"/>
  <c r="BU191" i="3"/>
  <c r="BT191" i="3"/>
  <c r="BS191" i="3"/>
  <c r="BR191" i="3"/>
  <c r="BQ191" i="3"/>
  <c r="BP191" i="3"/>
  <c r="BO191" i="3"/>
  <c r="BN191" i="3"/>
  <c r="DU190" i="3"/>
  <c r="DT190" i="3"/>
  <c r="DS190" i="3"/>
  <c r="DR190" i="3"/>
  <c r="DQ190" i="3"/>
  <c r="DP190" i="3"/>
  <c r="DO190" i="3"/>
  <c r="DN190" i="3"/>
  <c r="DM190" i="3"/>
  <c r="DL190" i="3"/>
  <c r="DK190" i="3"/>
  <c r="DJ190" i="3"/>
  <c r="DI190" i="3"/>
  <c r="DH190" i="3"/>
  <c r="DG190" i="3"/>
  <c r="DF190" i="3"/>
  <c r="DE190" i="3"/>
  <c r="DD190" i="3"/>
  <c r="DC190" i="3"/>
  <c r="DB190" i="3"/>
  <c r="DA190" i="3"/>
  <c r="CZ190" i="3"/>
  <c r="CY190" i="3"/>
  <c r="CX190" i="3"/>
  <c r="CW190" i="3"/>
  <c r="CV190" i="3"/>
  <c r="CU190" i="3"/>
  <c r="CT190" i="3"/>
  <c r="CS190" i="3"/>
  <c r="CR190" i="3"/>
  <c r="CQ190" i="3"/>
  <c r="CP190" i="3"/>
  <c r="CO190" i="3"/>
  <c r="CN190" i="3"/>
  <c r="CM190" i="3"/>
  <c r="CL190" i="3"/>
  <c r="CK190" i="3"/>
  <c r="CJ190" i="3"/>
  <c r="CI190" i="3"/>
  <c r="CH190" i="3"/>
  <c r="CG190" i="3"/>
  <c r="CF190" i="3"/>
  <c r="CE190" i="3"/>
  <c r="CD190" i="3"/>
  <c r="CC190" i="3"/>
  <c r="CB190" i="3"/>
  <c r="CA190" i="3"/>
  <c r="BZ190" i="3"/>
  <c r="BY190" i="3"/>
  <c r="BX190" i="3"/>
  <c r="BW190" i="3"/>
  <c r="BV190" i="3"/>
  <c r="BU190" i="3"/>
  <c r="BT190" i="3"/>
  <c r="BS190" i="3"/>
  <c r="BR190" i="3"/>
  <c r="BQ190" i="3"/>
  <c r="BP190" i="3"/>
  <c r="BO190" i="3"/>
  <c r="BN190" i="3"/>
  <c r="DU189" i="3"/>
  <c r="DT189" i="3"/>
  <c r="DS189" i="3"/>
  <c r="DR189" i="3"/>
  <c r="DQ189" i="3"/>
  <c r="DP189" i="3"/>
  <c r="DO189" i="3"/>
  <c r="DN189" i="3"/>
  <c r="DM189" i="3"/>
  <c r="DL189" i="3"/>
  <c r="DK189" i="3"/>
  <c r="DJ189" i="3"/>
  <c r="DI189" i="3"/>
  <c r="DH189" i="3"/>
  <c r="DG189" i="3"/>
  <c r="DF189" i="3"/>
  <c r="DE189" i="3"/>
  <c r="DD189" i="3"/>
  <c r="DC189" i="3"/>
  <c r="DB189" i="3"/>
  <c r="DA189" i="3"/>
  <c r="CZ189" i="3"/>
  <c r="CY189" i="3"/>
  <c r="CX189" i="3"/>
  <c r="CW189" i="3"/>
  <c r="CV189" i="3"/>
  <c r="CU189" i="3"/>
  <c r="CT189" i="3"/>
  <c r="CS189" i="3"/>
  <c r="CR189" i="3"/>
  <c r="CQ189" i="3"/>
  <c r="CP189" i="3"/>
  <c r="CO189" i="3"/>
  <c r="CN189" i="3"/>
  <c r="CM189" i="3"/>
  <c r="CL189" i="3"/>
  <c r="CK189" i="3"/>
  <c r="CJ189" i="3"/>
  <c r="CI189" i="3"/>
  <c r="CH189" i="3"/>
  <c r="CG189" i="3"/>
  <c r="CF189" i="3"/>
  <c r="CE189" i="3"/>
  <c r="CD189" i="3"/>
  <c r="CC189" i="3"/>
  <c r="CB189" i="3"/>
  <c r="CA189" i="3"/>
  <c r="BZ189" i="3"/>
  <c r="BY189" i="3"/>
  <c r="BX189" i="3"/>
  <c r="BW189" i="3"/>
  <c r="BV189" i="3"/>
  <c r="BU189" i="3"/>
  <c r="BT189" i="3"/>
  <c r="BS189" i="3"/>
  <c r="BR189" i="3"/>
  <c r="BQ189" i="3"/>
  <c r="BP189" i="3"/>
  <c r="BO189" i="3"/>
  <c r="BN189" i="3"/>
  <c r="DU188" i="3"/>
  <c r="DT188" i="3"/>
  <c r="DS188" i="3"/>
  <c r="DR188" i="3"/>
  <c r="DQ188" i="3"/>
  <c r="DP188" i="3"/>
  <c r="DO188" i="3"/>
  <c r="DN188" i="3"/>
  <c r="DM188" i="3"/>
  <c r="DL188" i="3"/>
  <c r="DK188" i="3"/>
  <c r="DJ188" i="3"/>
  <c r="DI188" i="3"/>
  <c r="DH188" i="3"/>
  <c r="DG188" i="3"/>
  <c r="DF188" i="3"/>
  <c r="DE188" i="3"/>
  <c r="DD188" i="3"/>
  <c r="DC188" i="3"/>
  <c r="DB188" i="3"/>
  <c r="DA188" i="3"/>
  <c r="CZ188" i="3"/>
  <c r="CY188" i="3"/>
  <c r="CX188" i="3"/>
  <c r="CW188" i="3"/>
  <c r="CV188" i="3"/>
  <c r="CU188" i="3"/>
  <c r="CT188" i="3"/>
  <c r="CS188" i="3"/>
  <c r="CR188" i="3"/>
  <c r="CQ188" i="3"/>
  <c r="CP188" i="3"/>
  <c r="CO188" i="3"/>
  <c r="CN188" i="3"/>
  <c r="CM188" i="3"/>
  <c r="CL188" i="3"/>
  <c r="CK188" i="3"/>
  <c r="CJ188" i="3"/>
  <c r="CI188" i="3"/>
  <c r="CH188" i="3"/>
  <c r="CG188" i="3"/>
  <c r="CF188" i="3"/>
  <c r="CE188" i="3"/>
  <c r="CD188" i="3"/>
  <c r="CC188" i="3"/>
  <c r="CB188" i="3"/>
  <c r="CA188" i="3"/>
  <c r="BZ188" i="3"/>
  <c r="BY188" i="3"/>
  <c r="BX188" i="3"/>
  <c r="BW188" i="3"/>
  <c r="BV188" i="3"/>
  <c r="BU188" i="3"/>
  <c r="BT188" i="3"/>
  <c r="BS188" i="3"/>
  <c r="BR188" i="3"/>
  <c r="BQ188" i="3"/>
  <c r="BP188" i="3"/>
  <c r="BO188" i="3"/>
  <c r="BN188" i="3"/>
  <c r="DU187" i="3"/>
  <c r="DT187" i="3"/>
  <c r="DS187" i="3"/>
  <c r="DR187" i="3"/>
  <c r="DQ187" i="3"/>
  <c r="DP187" i="3"/>
  <c r="DO187" i="3"/>
  <c r="DN187" i="3"/>
  <c r="DM187" i="3"/>
  <c r="DL187" i="3"/>
  <c r="DK187" i="3"/>
  <c r="DJ187" i="3"/>
  <c r="DI187" i="3"/>
  <c r="DH187" i="3"/>
  <c r="DG187" i="3"/>
  <c r="DF187" i="3"/>
  <c r="DE187" i="3"/>
  <c r="DD187" i="3"/>
  <c r="DC187" i="3"/>
  <c r="DB187" i="3"/>
  <c r="DA187" i="3"/>
  <c r="CZ187" i="3"/>
  <c r="CY187" i="3"/>
  <c r="CX187" i="3"/>
  <c r="CW187" i="3"/>
  <c r="CV187" i="3"/>
  <c r="CU187" i="3"/>
  <c r="CT187" i="3"/>
  <c r="CS187" i="3"/>
  <c r="CR187" i="3"/>
  <c r="CQ187" i="3"/>
  <c r="CP187" i="3"/>
  <c r="CO187" i="3"/>
  <c r="CN187" i="3"/>
  <c r="CM187" i="3"/>
  <c r="CL187" i="3"/>
  <c r="CK187" i="3"/>
  <c r="CJ187" i="3"/>
  <c r="CI187" i="3"/>
  <c r="CH187" i="3"/>
  <c r="CG187" i="3"/>
  <c r="CF187" i="3"/>
  <c r="CE187" i="3"/>
  <c r="CD187" i="3"/>
  <c r="CC187" i="3"/>
  <c r="CB187" i="3"/>
  <c r="CA187" i="3"/>
  <c r="BZ187" i="3"/>
  <c r="BY187" i="3"/>
  <c r="BX187" i="3"/>
  <c r="BW187" i="3"/>
  <c r="BV187" i="3"/>
  <c r="BU187" i="3"/>
  <c r="BT187" i="3"/>
  <c r="BS187" i="3"/>
  <c r="BR187" i="3"/>
  <c r="BQ187" i="3"/>
  <c r="BP187" i="3"/>
  <c r="BO187" i="3"/>
  <c r="BN187" i="3"/>
  <c r="DU186" i="3"/>
  <c r="DT186" i="3"/>
  <c r="DS186" i="3"/>
  <c r="DR186" i="3"/>
  <c r="DQ186" i="3"/>
  <c r="DP186" i="3"/>
  <c r="DO186" i="3"/>
  <c r="DN186" i="3"/>
  <c r="DM186" i="3"/>
  <c r="DL186" i="3"/>
  <c r="DK186" i="3"/>
  <c r="DJ186" i="3"/>
  <c r="DI186" i="3"/>
  <c r="DH186" i="3"/>
  <c r="DG186" i="3"/>
  <c r="DF186" i="3"/>
  <c r="DE186" i="3"/>
  <c r="DD186" i="3"/>
  <c r="DC186" i="3"/>
  <c r="DB186" i="3"/>
  <c r="DA186" i="3"/>
  <c r="CZ186" i="3"/>
  <c r="CY186" i="3"/>
  <c r="CX186" i="3"/>
  <c r="CW186" i="3"/>
  <c r="CV186" i="3"/>
  <c r="CU186" i="3"/>
  <c r="CT186" i="3"/>
  <c r="CS186" i="3"/>
  <c r="CR186" i="3"/>
  <c r="CQ186" i="3"/>
  <c r="CP186" i="3"/>
  <c r="CO186" i="3"/>
  <c r="CN186" i="3"/>
  <c r="CM186" i="3"/>
  <c r="CL186" i="3"/>
  <c r="CK186" i="3"/>
  <c r="CJ186" i="3"/>
  <c r="CI186" i="3"/>
  <c r="CH186" i="3"/>
  <c r="CG186" i="3"/>
  <c r="CF186" i="3"/>
  <c r="CE186" i="3"/>
  <c r="CD186" i="3"/>
  <c r="CC186" i="3"/>
  <c r="CB186" i="3"/>
  <c r="CA186" i="3"/>
  <c r="BZ186" i="3"/>
  <c r="BY186" i="3"/>
  <c r="BX186" i="3"/>
  <c r="BW186" i="3"/>
  <c r="BV186" i="3"/>
  <c r="BU186" i="3"/>
  <c r="BT186" i="3"/>
  <c r="BS186" i="3"/>
  <c r="BR186" i="3"/>
  <c r="BQ186" i="3"/>
  <c r="BP186" i="3"/>
  <c r="BO186" i="3"/>
  <c r="BN186" i="3"/>
  <c r="DU185" i="3"/>
  <c r="DT185" i="3"/>
  <c r="DS185" i="3"/>
  <c r="DR185" i="3"/>
  <c r="DQ185" i="3"/>
  <c r="DP185" i="3"/>
  <c r="DO185" i="3"/>
  <c r="DN185" i="3"/>
  <c r="DM185" i="3"/>
  <c r="DL185" i="3"/>
  <c r="DK185" i="3"/>
  <c r="DJ185" i="3"/>
  <c r="DI185" i="3"/>
  <c r="DH185" i="3"/>
  <c r="DG185" i="3"/>
  <c r="DF185" i="3"/>
  <c r="DE185" i="3"/>
  <c r="DD185" i="3"/>
  <c r="DC185" i="3"/>
  <c r="DB185" i="3"/>
  <c r="DA185" i="3"/>
  <c r="CZ185" i="3"/>
  <c r="CY185" i="3"/>
  <c r="CX185" i="3"/>
  <c r="CW185" i="3"/>
  <c r="CV185" i="3"/>
  <c r="CU185" i="3"/>
  <c r="CT185" i="3"/>
  <c r="CS185" i="3"/>
  <c r="CR185" i="3"/>
  <c r="CQ185" i="3"/>
  <c r="CP185" i="3"/>
  <c r="CO185" i="3"/>
  <c r="CN185" i="3"/>
  <c r="CM185" i="3"/>
  <c r="CL185" i="3"/>
  <c r="CK185" i="3"/>
  <c r="CJ185" i="3"/>
  <c r="CI185" i="3"/>
  <c r="CH185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DU184" i="3"/>
  <c r="DT184" i="3"/>
  <c r="DS184" i="3"/>
  <c r="DR184" i="3"/>
  <c r="DQ184" i="3"/>
  <c r="DP184" i="3"/>
  <c r="DO184" i="3"/>
  <c r="DN184" i="3"/>
  <c r="DM184" i="3"/>
  <c r="DL184" i="3"/>
  <c r="DK184" i="3"/>
  <c r="DJ184" i="3"/>
  <c r="DI184" i="3"/>
  <c r="DH184" i="3"/>
  <c r="DG184" i="3"/>
  <c r="DF184" i="3"/>
  <c r="DE184" i="3"/>
  <c r="DD184" i="3"/>
  <c r="DC184" i="3"/>
  <c r="DB184" i="3"/>
  <c r="DA184" i="3"/>
  <c r="CZ184" i="3"/>
  <c r="CY184" i="3"/>
  <c r="CX184" i="3"/>
  <c r="CW184" i="3"/>
  <c r="CV184" i="3"/>
  <c r="CU184" i="3"/>
  <c r="CT184" i="3"/>
  <c r="CS184" i="3"/>
  <c r="CR184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DU183" i="3"/>
  <c r="DT183" i="3"/>
  <c r="DS183" i="3"/>
  <c r="DR183" i="3"/>
  <c r="DQ183" i="3"/>
  <c r="DP183" i="3"/>
  <c r="DO183" i="3"/>
  <c r="DN183" i="3"/>
  <c r="DM183" i="3"/>
  <c r="DL183" i="3"/>
  <c r="DK183" i="3"/>
  <c r="DJ183" i="3"/>
  <c r="DI183" i="3"/>
  <c r="DH183" i="3"/>
  <c r="DG183" i="3"/>
  <c r="DF183" i="3"/>
  <c r="DE183" i="3"/>
  <c r="DD183" i="3"/>
  <c r="DC183" i="3"/>
  <c r="DB183" i="3"/>
  <c r="DA183" i="3"/>
  <c r="CZ183" i="3"/>
  <c r="CY183" i="3"/>
  <c r="CX183" i="3"/>
  <c r="CW183" i="3"/>
  <c r="CV183" i="3"/>
  <c r="CU183" i="3"/>
  <c r="CT183" i="3"/>
  <c r="CS183" i="3"/>
  <c r="CR183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DU182" i="3"/>
  <c r="DT182" i="3"/>
  <c r="DS182" i="3"/>
  <c r="DR182" i="3"/>
  <c r="DQ182" i="3"/>
  <c r="DP182" i="3"/>
  <c r="DO182" i="3"/>
  <c r="DN182" i="3"/>
  <c r="DM182" i="3"/>
  <c r="DL182" i="3"/>
  <c r="DK182" i="3"/>
  <c r="DJ182" i="3"/>
  <c r="DI182" i="3"/>
  <c r="DH182" i="3"/>
  <c r="DG182" i="3"/>
  <c r="DF182" i="3"/>
  <c r="DE182" i="3"/>
  <c r="DD182" i="3"/>
  <c r="DC182" i="3"/>
  <c r="DB182" i="3"/>
  <c r="DA182" i="3"/>
  <c r="CZ182" i="3"/>
  <c r="CY182" i="3"/>
  <c r="CX182" i="3"/>
  <c r="CW182" i="3"/>
  <c r="CV182" i="3"/>
  <c r="CU182" i="3"/>
  <c r="CT182" i="3"/>
  <c r="CS182" i="3"/>
  <c r="CR182" i="3"/>
  <c r="CQ182" i="3"/>
  <c r="CP182" i="3"/>
  <c r="CO182" i="3"/>
  <c r="CN182" i="3"/>
  <c r="CM182" i="3"/>
  <c r="CL182" i="3"/>
  <c r="CK182" i="3"/>
  <c r="CJ182" i="3"/>
  <c r="CI182" i="3"/>
  <c r="CH182" i="3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DU181" i="3"/>
  <c r="DT181" i="3"/>
  <c r="DS181" i="3"/>
  <c r="DR181" i="3"/>
  <c r="DQ181" i="3"/>
  <c r="DP181" i="3"/>
  <c r="DO181" i="3"/>
  <c r="DN181" i="3"/>
  <c r="DM181" i="3"/>
  <c r="DL181" i="3"/>
  <c r="DK181" i="3"/>
  <c r="DJ181" i="3"/>
  <c r="DI181" i="3"/>
  <c r="DH181" i="3"/>
  <c r="DG181" i="3"/>
  <c r="DF181" i="3"/>
  <c r="DE181" i="3"/>
  <c r="DD181" i="3"/>
  <c r="DC181" i="3"/>
  <c r="DB181" i="3"/>
  <c r="DA181" i="3"/>
  <c r="CZ181" i="3"/>
  <c r="CY181" i="3"/>
  <c r="CX181" i="3"/>
  <c r="CW181" i="3"/>
  <c r="CV181" i="3"/>
  <c r="CU181" i="3"/>
  <c r="CT181" i="3"/>
  <c r="CS181" i="3"/>
  <c r="CR181" i="3"/>
  <c r="CQ181" i="3"/>
  <c r="CP181" i="3"/>
  <c r="CO181" i="3"/>
  <c r="CN181" i="3"/>
  <c r="CM181" i="3"/>
  <c r="CL181" i="3"/>
  <c r="CK181" i="3"/>
  <c r="CJ181" i="3"/>
  <c r="CI181" i="3"/>
  <c r="CH181" i="3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DU180" i="3"/>
  <c r="DT180" i="3"/>
  <c r="DS180" i="3"/>
  <c r="DR180" i="3"/>
  <c r="DQ180" i="3"/>
  <c r="DP180" i="3"/>
  <c r="DO180" i="3"/>
  <c r="DN180" i="3"/>
  <c r="DM180" i="3"/>
  <c r="DL180" i="3"/>
  <c r="DK180" i="3"/>
  <c r="DJ180" i="3"/>
  <c r="DI180" i="3"/>
  <c r="DH180" i="3"/>
  <c r="DG180" i="3"/>
  <c r="DF180" i="3"/>
  <c r="DE180" i="3"/>
  <c r="DD180" i="3"/>
  <c r="DC180" i="3"/>
  <c r="DB180" i="3"/>
  <c r="DA180" i="3"/>
  <c r="CZ180" i="3"/>
  <c r="CY180" i="3"/>
  <c r="CX180" i="3"/>
  <c r="CW180" i="3"/>
  <c r="CV180" i="3"/>
  <c r="CU180" i="3"/>
  <c r="CT180" i="3"/>
  <c r="CS180" i="3"/>
  <c r="CR180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DU179" i="3"/>
  <c r="DT179" i="3"/>
  <c r="DS179" i="3"/>
  <c r="DR179" i="3"/>
  <c r="DQ179" i="3"/>
  <c r="DP179" i="3"/>
  <c r="DO179" i="3"/>
  <c r="DN179" i="3"/>
  <c r="DM179" i="3"/>
  <c r="DL179" i="3"/>
  <c r="DK179" i="3"/>
  <c r="DJ179" i="3"/>
  <c r="DI179" i="3"/>
  <c r="DH179" i="3"/>
  <c r="DG179" i="3"/>
  <c r="DF179" i="3"/>
  <c r="DE179" i="3"/>
  <c r="DD179" i="3"/>
  <c r="DC179" i="3"/>
  <c r="DB179" i="3"/>
  <c r="DA179" i="3"/>
  <c r="CZ179" i="3"/>
  <c r="CY179" i="3"/>
  <c r="CX179" i="3"/>
  <c r="CW179" i="3"/>
  <c r="CV179" i="3"/>
  <c r="CU179" i="3"/>
  <c r="CT179" i="3"/>
  <c r="CS179" i="3"/>
  <c r="CR179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DU178" i="3"/>
  <c r="DT178" i="3"/>
  <c r="DS178" i="3"/>
  <c r="DR178" i="3"/>
  <c r="DQ178" i="3"/>
  <c r="DP178" i="3"/>
  <c r="DO178" i="3"/>
  <c r="DN178" i="3"/>
  <c r="DM178" i="3"/>
  <c r="DL178" i="3"/>
  <c r="DK178" i="3"/>
  <c r="DJ178" i="3"/>
  <c r="DI178" i="3"/>
  <c r="DH178" i="3"/>
  <c r="DG178" i="3"/>
  <c r="DF178" i="3"/>
  <c r="DE178" i="3"/>
  <c r="DD178" i="3"/>
  <c r="DC178" i="3"/>
  <c r="DB178" i="3"/>
  <c r="DA178" i="3"/>
  <c r="CZ178" i="3"/>
  <c r="CY178" i="3"/>
  <c r="CX178" i="3"/>
  <c r="CW178" i="3"/>
  <c r="CV178" i="3"/>
  <c r="CU178" i="3"/>
  <c r="CT178" i="3"/>
  <c r="CS178" i="3"/>
  <c r="CR178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DU177" i="3"/>
  <c r="DT177" i="3"/>
  <c r="DS177" i="3"/>
  <c r="DR177" i="3"/>
  <c r="DQ177" i="3"/>
  <c r="DP177" i="3"/>
  <c r="DO177" i="3"/>
  <c r="DN177" i="3"/>
  <c r="DM177" i="3"/>
  <c r="DL177" i="3"/>
  <c r="DK177" i="3"/>
  <c r="DJ177" i="3"/>
  <c r="DI177" i="3"/>
  <c r="DH177" i="3"/>
  <c r="DG177" i="3"/>
  <c r="DF177" i="3"/>
  <c r="DE177" i="3"/>
  <c r="DD177" i="3"/>
  <c r="DC177" i="3"/>
  <c r="DB177" i="3"/>
  <c r="DA177" i="3"/>
  <c r="CZ177" i="3"/>
  <c r="CY177" i="3"/>
  <c r="CX177" i="3"/>
  <c r="CW177" i="3"/>
  <c r="CV177" i="3"/>
  <c r="CU177" i="3"/>
  <c r="CT177" i="3"/>
  <c r="CS177" i="3"/>
  <c r="CR177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DU176" i="3"/>
  <c r="DT176" i="3"/>
  <c r="DS176" i="3"/>
  <c r="DR176" i="3"/>
  <c r="DQ176" i="3"/>
  <c r="DP176" i="3"/>
  <c r="DO176" i="3"/>
  <c r="DN176" i="3"/>
  <c r="DM176" i="3"/>
  <c r="DL176" i="3"/>
  <c r="DK176" i="3"/>
  <c r="DJ176" i="3"/>
  <c r="DI176" i="3"/>
  <c r="DH176" i="3"/>
  <c r="DG176" i="3"/>
  <c r="DF176" i="3"/>
  <c r="DE176" i="3"/>
  <c r="DD176" i="3"/>
  <c r="DC176" i="3"/>
  <c r="DB176" i="3"/>
  <c r="DA176" i="3"/>
  <c r="CZ176" i="3"/>
  <c r="CY176" i="3"/>
  <c r="CX176" i="3"/>
  <c r="CW176" i="3"/>
  <c r="CV176" i="3"/>
  <c r="CU176" i="3"/>
  <c r="CT176" i="3"/>
  <c r="CS176" i="3"/>
  <c r="CR176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DU175" i="3"/>
  <c r="DT175" i="3"/>
  <c r="DS175" i="3"/>
  <c r="DR175" i="3"/>
  <c r="DQ175" i="3"/>
  <c r="DP175" i="3"/>
  <c r="DO175" i="3"/>
  <c r="DN175" i="3"/>
  <c r="DM175" i="3"/>
  <c r="DL175" i="3"/>
  <c r="DK175" i="3"/>
  <c r="DJ175" i="3"/>
  <c r="DI175" i="3"/>
  <c r="DH175" i="3"/>
  <c r="DG175" i="3"/>
  <c r="DF175" i="3"/>
  <c r="DE175" i="3"/>
  <c r="DD175" i="3"/>
  <c r="DC175" i="3"/>
  <c r="DB175" i="3"/>
  <c r="DA175" i="3"/>
  <c r="CZ175" i="3"/>
  <c r="CY175" i="3"/>
  <c r="CX175" i="3"/>
  <c r="CW175" i="3"/>
  <c r="CV175" i="3"/>
  <c r="CU175" i="3"/>
  <c r="CT175" i="3"/>
  <c r="CS175" i="3"/>
  <c r="CR175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DU174" i="3"/>
  <c r="DT174" i="3"/>
  <c r="DS174" i="3"/>
  <c r="DR174" i="3"/>
  <c r="DQ174" i="3"/>
  <c r="DP174" i="3"/>
  <c r="DO174" i="3"/>
  <c r="DN174" i="3"/>
  <c r="DM174" i="3"/>
  <c r="DL174" i="3"/>
  <c r="DK174" i="3"/>
  <c r="DJ174" i="3"/>
  <c r="DI174" i="3"/>
  <c r="DH174" i="3"/>
  <c r="DG174" i="3"/>
  <c r="DF174" i="3"/>
  <c r="DE174" i="3"/>
  <c r="DD174" i="3"/>
  <c r="DC174" i="3"/>
  <c r="DB174" i="3"/>
  <c r="DA174" i="3"/>
  <c r="CZ174" i="3"/>
  <c r="CY174" i="3"/>
  <c r="CX174" i="3"/>
  <c r="CW174" i="3"/>
  <c r="CV174" i="3"/>
  <c r="CU174" i="3"/>
  <c r="CT174" i="3"/>
  <c r="CS174" i="3"/>
  <c r="CR174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DU173" i="3"/>
  <c r="DT173" i="3"/>
  <c r="DS173" i="3"/>
  <c r="DR173" i="3"/>
  <c r="DQ173" i="3"/>
  <c r="DP173" i="3"/>
  <c r="DO173" i="3"/>
  <c r="DN173" i="3"/>
  <c r="DM173" i="3"/>
  <c r="DL173" i="3"/>
  <c r="DK173" i="3"/>
  <c r="DJ173" i="3"/>
  <c r="DI173" i="3"/>
  <c r="DH173" i="3"/>
  <c r="DG173" i="3"/>
  <c r="DF173" i="3"/>
  <c r="DE173" i="3"/>
  <c r="DD173" i="3"/>
  <c r="DC173" i="3"/>
  <c r="DB173" i="3"/>
  <c r="DA173" i="3"/>
  <c r="CZ173" i="3"/>
  <c r="CY173" i="3"/>
  <c r="CX173" i="3"/>
  <c r="CW173" i="3"/>
  <c r="CV173" i="3"/>
  <c r="CU173" i="3"/>
  <c r="CT173" i="3"/>
  <c r="CS173" i="3"/>
  <c r="CR173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DU172" i="3"/>
  <c r="DT172" i="3"/>
  <c r="DS172" i="3"/>
  <c r="DR172" i="3"/>
  <c r="DQ172" i="3"/>
  <c r="DP172" i="3"/>
  <c r="DO172" i="3"/>
  <c r="DN172" i="3"/>
  <c r="DM172" i="3"/>
  <c r="DL172" i="3"/>
  <c r="DK172" i="3"/>
  <c r="DJ172" i="3"/>
  <c r="DI172" i="3"/>
  <c r="DH172" i="3"/>
  <c r="DG172" i="3"/>
  <c r="DF172" i="3"/>
  <c r="DE172" i="3"/>
  <c r="DD172" i="3"/>
  <c r="DC172" i="3"/>
  <c r="DB172" i="3"/>
  <c r="DA172" i="3"/>
  <c r="CZ172" i="3"/>
  <c r="CY172" i="3"/>
  <c r="CX172" i="3"/>
  <c r="CW172" i="3"/>
  <c r="CV172" i="3"/>
  <c r="CU172" i="3"/>
  <c r="CT172" i="3"/>
  <c r="CS172" i="3"/>
  <c r="CR172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DU171" i="3"/>
  <c r="DT171" i="3"/>
  <c r="DS171" i="3"/>
  <c r="DR171" i="3"/>
  <c r="DQ171" i="3"/>
  <c r="DP171" i="3"/>
  <c r="DO171" i="3"/>
  <c r="DN171" i="3"/>
  <c r="DM171" i="3"/>
  <c r="DL171" i="3"/>
  <c r="DK171" i="3"/>
  <c r="DJ171" i="3"/>
  <c r="DI171" i="3"/>
  <c r="DH171" i="3"/>
  <c r="DG171" i="3"/>
  <c r="DF171" i="3"/>
  <c r="DE171" i="3"/>
  <c r="DD171" i="3"/>
  <c r="DC171" i="3"/>
  <c r="DB171" i="3"/>
  <c r="DA171" i="3"/>
  <c r="CZ171" i="3"/>
  <c r="CY171" i="3"/>
  <c r="CX171" i="3"/>
  <c r="CW171" i="3"/>
  <c r="CV171" i="3"/>
  <c r="CU171" i="3"/>
  <c r="CT171" i="3"/>
  <c r="CS171" i="3"/>
  <c r="CR171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DU170" i="3"/>
  <c r="DT170" i="3"/>
  <c r="DS170" i="3"/>
  <c r="DR170" i="3"/>
  <c r="DQ170" i="3"/>
  <c r="DP170" i="3"/>
  <c r="DO170" i="3"/>
  <c r="DN170" i="3"/>
  <c r="DM170" i="3"/>
  <c r="DL170" i="3"/>
  <c r="DK170" i="3"/>
  <c r="DJ170" i="3"/>
  <c r="DI170" i="3"/>
  <c r="DH170" i="3"/>
  <c r="DG170" i="3"/>
  <c r="DF170" i="3"/>
  <c r="DE170" i="3"/>
  <c r="DD170" i="3"/>
  <c r="DC170" i="3"/>
  <c r="DB170" i="3"/>
  <c r="DA170" i="3"/>
  <c r="CZ170" i="3"/>
  <c r="CY170" i="3"/>
  <c r="CX170" i="3"/>
  <c r="CW170" i="3"/>
  <c r="CV170" i="3"/>
  <c r="CU170" i="3"/>
  <c r="CT170" i="3"/>
  <c r="CS170" i="3"/>
  <c r="CR170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DU169" i="3"/>
  <c r="DT169" i="3"/>
  <c r="DS169" i="3"/>
  <c r="DR169" i="3"/>
  <c r="DQ169" i="3"/>
  <c r="DP169" i="3"/>
  <c r="DO169" i="3"/>
  <c r="DN169" i="3"/>
  <c r="DM169" i="3"/>
  <c r="DL169" i="3"/>
  <c r="DK169" i="3"/>
  <c r="DJ169" i="3"/>
  <c r="DI169" i="3"/>
  <c r="DH169" i="3"/>
  <c r="DG169" i="3"/>
  <c r="DF169" i="3"/>
  <c r="DE169" i="3"/>
  <c r="DD169" i="3"/>
  <c r="DC169" i="3"/>
  <c r="DB169" i="3"/>
  <c r="DA169" i="3"/>
  <c r="CZ169" i="3"/>
  <c r="CY169" i="3"/>
  <c r="CX169" i="3"/>
  <c r="CW169" i="3"/>
  <c r="CV169" i="3"/>
  <c r="CU169" i="3"/>
  <c r="CT169" i="3"/>
  <c r="CS169" i="3"/>
  <c r="CR169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DU168" i="3"/>
  <c r="DT168" i="3"/>
  <c r="DS168" i="3"/>
  <c r="DR168" i="3"/>
  <c r="DQ168" i="3"/>
  <c r="DP168" i="3"/>
  <c r="DO168" i="3"/>
  <c r="DN168" i="3"/>
  <c r="DM168" i="3"/>
  <c r="DL168" i="3"/>
  <c r="DK168" i="3"/>
  <c r="DJ168" i="3"/>
  <c r="DI168" i="3"/>
  <c r="DH168" i="3"/>
  <c r="DG168" i="3"/>
  <c r="DF168" i="3"/>
  <c r="DE168" i="3"/>
  <c r="DD168" i="3"/>
  <c r="DC168" i="3"/>
  <c r="DB168" i="3"/>
  <c r="DA168" i="3"/>
  <c r="CZ168" i="3"/>
  <c r="CY168" i="3"/>
  <c r="CX168" i="3"/>
  <c r="CW168" i="3"/>
  <c r="CV168" i="3"/>
  <c r="CU168" i="3"/>
  <c r="CT168" i="3"/>
  <c r="CS168" i="3"/>
  <c r="CR168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DU167" i="3"/>
  <c r="DT167" i="3"/>
  <c r="DS167" i="3"/>
  <c r="DR167" i="3"/>
  <c r="DQ167" i="3"/>
  <c r="DP167" i="3"/>
  <c r="DO167" i="3"/>
  <c r="DN167" i="3"/>
  <c r="DM167" i="3"/>
  <c r="DL167" i="3"/>
  <c r="DK167" i="3"/>
  <c r="DJ167" i="3"/>
  <c r="DI167" i="3"/>
  <c r="DH167" i="3"/>
  <c r="DG167" i="3"/>
  <c r="DF167" i="3"/>
  <c r="DE167" i="3"/>
  <c r="DD167" i="3"/>
  <c r="DC167" i="3"/>
  <c r="DB167" i="3"/>
  <c r="DA167" i="3"/>
  <c r="CZ167" i="3"/>
  <c r="CY167" i="3"/>
  <c r="CX167" i="3"/>
  <c r="CW167" i="3"/>
  <c r="CV167" i="3"/>
  <c r="CU167" i="3"/>
  <c r="CT167" i="3"/>
  <c r="CS167" i="3"/>
  <c r="CR167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DU166" i="3"/>
  <c r="DT166" i="3"/>
  <c r="DS166" i="3"/>
  <c r="DR166" i="3"/>
  <c r="DQ166" i="3"/>
  <c r="DP166" i="3"/>
  <c r="DO166" i="3"/>
  <c r="DN166" i="3"/>
  <c r="DM166" i="3"/>
  <c r="DL166" i="3"/>
  <c r="DK166" i="3"/>
  <c r="DJ166" i="3"/>
  <c r="DI166" i="3"/>
  <c r="DH166" i="3"/>
  <c r="DG166" i="3"/>
  <c r="DF166" i="3"/>
  <c r="DE166" i="3"/>
  <c r="DD166" i="3"/>
  <c r="DC166" i="3"/>
  <c r="DB166" i="3"/>
  <c r="DA166" i="3"/>
  <c r="CZ166" i="3"/>
  <c r="CY166" i="3"/>
  <c r="CX166" i="3"/>
  <c r="CW166" i="3"/>
  <c r="CV166" i="3"/>
  <c r="CU166" i="3"/>
  <c r="CT166" i="3"/>
  <c r="CS166" i="3"/>
  <c r="CR166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DU165" i="3"/>
  <c r="DT165" i="3"/>
  <c r="DS165" i="3"/>
  <c r="DR165" i="3"/>
  <c r="DQ165" i="3"/>
  <c r="DP165" i="3"/>
  <c r="DO165" i="3"/>
  <c r="DN165" i="3"/>
  <c r="DM165" i="3"/>
  <c r="DL165" i="3"/>
  <c r="DK165" i="3"/>
  <c r="DJ165" i="3"/>
  <c r="DI165" i="3"/>
  <c r="DH165" i="3"/>
  <c r="DG165" i="3"/>
  <c r="DF165" i="3"/>
  <c r="DE165" i="3"/>
  <c r="DD165" i="3"/>
  <c r="DC165" i="3"/>
  <c r="DB165" i="3"/>
  <c r="DA165" i="3"/>
  <c r="CZ165" i="3"/>
  <c r="CY165" i="3"/>
  <c r="CX165" i="3"/>
  <c r="CW165" i="3"/>
  <c r="CV165" i="3"/>
  <c r="CU165" i="3"/>
  <c r="CT165" i="3"/>
  <c r="CS165" i="3"/>
  <c r="CR165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DU164" i="3"/>
  <c r="DT164" i="3"/>
  <c r="DS164" i="3"/>
  <c r="DR164" i="3"/>
  <c r="DQ164" i="3"/>
  <c r="DP164" i="3"/>
  <c r="DO164" i="3"/>
  <c r="DN164" i="3"/>
  <c r="DM164" i="3"/>
  <c r="DL164" i="3"/>
  <c r="DK164" i="3"/>
  <c r="DJ164" i="3"/>
  <c r="DI164" i="3"/>
  <c r="DH164" i="3"/>
  <c r="DG164" i="3"/>
  <c r="DF164" i="3"/>
  <c r="DE164" i="3"/>
  <c r="DD164" i="3"/>
  <c r="DC164" i="3"/>
  <c r="DB164" i="3"/>
  <c r="DA164" i="3"/>
  <c r="CZ164" i="3"/>
  <c r="CY164" i="3"/>
  <c r="CX164" i="3"/>
  <c r="CW164" i="3"/>
  <c r="CV164" i="3"/>
  <c r="CU164" i="3"/>
  <c r="CT164" i="3"/>
  <c r="CS164" i="3"/>
  <c r="CR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DU163" i="3"/>
  <c r="DT163" i="3"/>
  <c r="DS163" i="3"/>
  <c r="DR163" i="3"/>
  <c r="DQ163" i="3"/>
  <c r="DP163" i="3"/>
  <c r="DO163" i="3"/>
  <c r="DN163" i="3"/>
  <c r="DM163" i="3"/>
  <c r="DL163" i="3"/>
  <c r="DK163" i="3"/>
  <c r="DJ163" i="3"/>
  <c r="DI163" i="3"/>
  <c r="DH163" i="3"/>
  <c r="DG163" i="3"/>
  <c r="DF163" i="3"/>
  <c r="DE163" i="3"/>
  <c r="DD163" i="3"/>
  <c r="DC163" i="3"/>
  <c r="DB163" i="3"/>
  <c r="DA163" i="3"/>
  <c r="CZ163" i="3"/>
  <c r="CY163" i="3"/>
  <c r="CX163" i="3"/>
  <c r="CW163" i="3"/>
  <c r="CV163" i="3"/>
  <c r="CU163" i="3"/>
  <c r="CT163" i="3"/>
  <c r="CS163" i="3"/>
  <c r="CR163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DU162" i="3"/>
  <c r="DT162" i="3"/>
  <c r="DS162" i="3"/>
  <c r="DR162" i="3"/>
  <c r="DQ162" i="3"/>
  <c r="DP162" i="3"/>
  <c r="DO162" i="3"/>
  <c r="DN162" i="3"/>
  <c r="DM162" i="3"/>
  <c r="DL162" i="3"/>
  <c r="DK162" i="3"/>
  <c r="DJ162" i="3"/>
  <c r="DI162" i="3"/>
  <c r="DH162" i="3"/>
  <c r="DG162" i="3"/>
  <c r="DF162" i="3"/>
  <c r="DE162" i="3"/>
  <c r="DD162" i="3"/>
  <c r="DC162" i="3"/>
  <c r="DB162" i="3"/>
  <c r="DA162" i="3"/>
  <c r="CZ162" i="3"/>
  <c r="CY162" i="3"/>
  <c r="CX162" i="3"/>
  <c r="CW162" i="3"/>
  <c r="CV162" i="3"/>
  <c r="CU162" i="3"/>
  <c r="CT162" i="3"/>
  <c r="CS162" i="3"/>
  <c r="CR162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DU161" i="3"/>
  <c r="DT161" i="3"/>
  <c r="DS161" i="3"/>
  <c r="DR161" i="3"/>
  <c r="DQ161" i="3"/>
  <c r="DP161" i="3"/>
  <c r="DO161" i="3"/>
  <c r="DN161" i="3"/>
  <c r="DM161" i="3"/>
  <c r="DL161" i="3"/>
  <c r="DK161" i="3"/>
  <c r="DJ161" i="3"/>
  <c r="DI161" i="3"/>
  <c r="DH161" i="3"/>
  <c r="DG161" i="3"/>
  <c r="DF161" i="3"/>
  <c r="DE161" i="3"/>
  <c r="DD161" i="3"/>
  <c r="DC161" i="3"/>
  <c r="DB161" i="3"/>
  <c r="DA161" i="3"/>
  <c r="CZ161" i="3"/>
  <c r="CY161" i="3"/>
  <c r="CX161" i="3"/>
  <c r="CW161" i="3"/>
  <c r="CV161" i="3"/>
  <c r="CU161" i="3"/>
  <c r="CT161" i="3"/>
  <c r="CS161" i="3"/>
  <c r="CR161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DU160" i="3"/>
  <c r="DT160" i="3"/>
  <c r="DS160" i="3"/>
  <c r="DR160" i="3"/>
  <c r="DQ160" i="3"/>
  <c r="DP160" i="3"/>
  <c r="DO160" i="3"/>
  <c r="DN160" i="3"/>
  <c r="DM160" i="3"/>
  <c r="DL160" i="3"/>
  <c r="DK160" i="3"/>
  <c r="DJ160" i="3"/>
  <c r="DI160" i="3"/>
  <c r="DH160" i="3"/>
  <c r="DG160" i="3"/>
  <c r="DF160" i="3"/>
  <c r="DE160" i="3"/>
  <c r="DD160" i="3"/>
  <c r="DC160" i="3"/>
  <c r="DB160" i="3"/>
  <c r="DA160" i="3"/>
  <c r="CZ160" i="3"/>
  <c r="CY160" i="3"/>
  <c r="CX160" i="3"/>
  <c r="CW160" i="3"/>
  <c r="CV160" i="3"/>
  <c r="CU160" i="3"/>
  <c r="CT160" i="3"/>
  <c r="CS160" i="3"/>
  <c r="CR160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DU159" i="3"/>
  <c r="DT159" i="3"/>
  <c r="DS159" i="3"/>
  <c r="DR159" i="3"/>
  <c r="DQ159" i="3"/>
  <c r="DP159" i="3"/>
  <c r="DO159" i="3"/>
  <c r="DN159" i="3"/>
  <c r="DM159" i="3"/>
  <c r="DL159" i="3"/>
  <c r="DK159" i="3"/>
  <c r="DJ159" i="3"/>
  <c r="DI159" i="3"/>
  <c r="DH159" i="3"/>
  <c r="DG159" i="3"/>
  <c r="DF159" i="3"/>
  <c r="DE159" i="3"/>
  <c r="DD159" i="3"/>
  <c r="DC159" i="3"/>
  <c r="DB159" i="3"/>
  <c r="DA159" i="3"/>
  <c r="CZ159" i="3"/>
  <c r="CY159" i="3"/>
  <c r="CX159" i="3"/>
  <c r="CW159" i="3"/>
  <c r="CV159" i="3"/>
  <c r="CU159" i="3"/>
  <c r="CT159" i="3"/>
  <c r="CS159" i="3"/>
  <c r="CR159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DU158" i="3"/>
  <c r="DT158" i="3"/>
  <c r="DS158" i="3"/>
  <c r="DR158" i="3"/>
  <c r="DQ158" i="3"/>
  <c r="DP158" i="3"/>
  <c r="DO158" i="3"/>
  <c r="DN158" i="3"/>
  <c r="DM158" i="3"/>
  <c r="DL158" i="3"/>
  <c r="DK158" i="3"/>
  <c r="DJ158" i="3"/>
  <c r="DI158" i="3"/>
  <c r="DH158" i="3"/>
  <c r="DG158" i="3"/>
  <c r="DF158" i="3"/>
  <c r="DE158" i="3"/>
  <c r="DD158" i="3"/>
  <c r="DC158" i="3"/>
  <c r="DB158" i="3"/>
  <c r="DA158" i="3"/>
  <c r="CZ158" i="3"/>
  <c r="CY158" i="3"/>
  <c r="CX158" i="3"/>
  <c r="CW158" i="3"/>
  <c r="CV158" i="3"/>
  <c r="CU158" i="3"/>
  <c r="CT158" i="3"/>
  <c r="CS158" i="3"/>
  <c r="CR158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DU157" i="3"/>
  <c r="DT157" i="3"/>
  <c r="DS157" i="3"/>
  <c r="DR157" i="3"/>
  <c r="DQ157" i="3"/>
  <c r="DP157" i="3"/>
  <c r="DO157" i="3"/>
  <c r="DN157" i="3"/>
  <c r="DM157" i="3"/>
  <c r="DL157" i="3"/>
  <c r="DK157" i="3"/>
  <c r="DJ157" i="3"/>
  <c r="DI157" i="3"/>
  <c r="DH157" i="3"/>
  <c r="DG157" i="3"/>
  <c r="DF157" i="3"/>
  <c r="DE157" i="3"/>
  <c r="DD157" i="3"/>
  <c r="DC157" i="3"/>
  <c r="DB157" i="3"/>
  <c r="DA157" i="3"/>
  <c r="CZ157" i="3"/>
  <c r="CY157" i="3"/>
  <c r="CX157" i="3"/>
  <c r="CW157" i="3"/>
  <c r="CV157" i="3"/>
  <c r="CU157" i="3"/>
  <c r="CT157" i="3"/>
  <c r="CS157" i="3"/>
  <c r="CR157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DU156" i="3"/>
  <c r="DT156" i="3"/>
  <c r="DS156" i="3"/>
  <c r="DR156" i="3"/>
  <c r="DQ156" i="3"/>
  <c r="DP156" i="3"/>
  <c r="DO156" i="3"/>
  <c r="DN156" i="3"/>
  <c r="DM156" i="3"/>
  <c r="DL156" i="3"/>
  <c r="DK156" i="3"/>
  <c r="DJ156" i="3"/>
  <c r="DI156" i="3"/>
  <c r="DH156" i="3"/>
  <c r="DG156" i="3"/>
  <c r="DF156" i="3"/>
  <c r="DE156" i="3"/>
  <c r="DD156" i="3"/>
  <c r="DC156" i="3"/>
  <c r="DB156" i="3"/>
  <c r="DA156" i="3"/>
  <c r="CZ156" i="3"/>
  <c r="CY156" i="3"/>
  <c r="CX156" i="3"/>
  <c r="CW156" i="3"/>
  <c r="CV156" i="3"/>
  <c r="CU156" i="3"/>
  <c r="CT156" i="3"/>
  <c r="CS156" i="3"/>
  <c r="CR156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DU155" i="3"/>
  <c r="DT155" i="3"/>
  <c r="DS155" i="3"/>
  <c r="DR155" i="3"/>
  <c r="DQ155" i="3"/>
  <c r="DP155" i="3"/>
  <c r="DO155" i="3"/>
  <c r="DN155" i="3"/>
  <c r="DM155" i="3"/>
  <c r="DL155" i="3"/>
  <c r="DK155" i="3"/>
  <c r="DJ155" i="3"/>
  <c r="DI155" i="3"/>
  <c r="DH155" i="3"/>
  <c r="DG155" i="3"/>
  <c r="DF155" i="3"/>
  <c r="DE155" i="3"/>
  <c r="DD155" i="3"/>
  <c r="DC155" i="3"/>
  <c r="DB155" i="3"/>
  <c r="DA155" i="3"/>
  <c r="CZ155" i="3"/>
  <c r="CY155" i="3"/>
  <c r="CX155" i="3"/>
  <c r="CW155" i="3"/>
  <c r="CV155" i="3"/>
  <c r="CU155" i="3"/>
  <c r="CT155" i="3"/>
  <c r="CS155" i="3"/>
  <c r="CR155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DU154" i="3"/>
  <c r="DT154" i="3"/>
  <c r="DS154" i="3"/>
  <c r="DR154" i="3"/>
  <c r="DQ154" i="3"/>
  <c r="DP154" i="3"/>
  <c r="DO154" i="3"/>
  <c r="DN154" i="3"/>
  <c r="DM154" i="3"/>
  <c r="DL154" i="3"/>
  <c r="DK154" i="3"/>
  <c r="DJ154" i="3"/>
  <c r="DI154" i="3"/>
  <c r="DH154" i="3"/>
  <c r="DG154" i="3"/>
  <c r="DF154" i="3"/>
  <c r="DE154" i="3"/>
  <c r="DD154" i="3"/>
  <c r="DC154" i="3"/>
  <c r="DB154" i="3"/>
  <c r="DA154" i="3"/>
  <c r="CZ154" i="3"/>
  <c r="CY154" i="3"/>
  <c r="CX154" i="3"/>
  <c r="CW154" i="3"/>
  <c r="CV154" i="3"/>
  <c r="CU154" i="3"/>
  <c r="CT154" i="3"/>
  <c r="CS154" i="3"/>
  <c r="CR154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DU153" i="3"/>
  <c r="DT153" i="3"/>
  <c r="DS153" i="3"/>
  <c r="DR153" i="3"/>
  <c r="DQ153" i="3"/>
  <c r="DP153" i="3"/>
  <c r="DO153" i="3"/>
  <c r="DN153" i="3"/>
  <c r="DM153" i="3"/>
  <c r="DL153" i="3"/>
  <c r="DK153" i="3"/>
  <c r="DJ153" i="3"/>
  <c r="DI153" i="3"/>
  <c r="DH153" i="3"/>
  <c r="DG153" i="3"/>
  <c r="DF153" i="3"/>
  <c r="DE153" i="3"/>
  <c r="DD153" i="3"/>
  <c r="DC153" i="3"/>
  <c r="DB153" i="3"/>
  <c r="DA153" i="3"/>
  <c r="CZ153" i="3"/>
  <c r="CY153" i="3"/>
  <c r="CX153" i="3"/>
  <c r="CW153" i="3"/>
  <c r="CV153" i="3"/>
  <c r="CU153" i="3"/>
  <c r="CT153" i="3"/>
  <c r="CS153" i="3"/>
  <c r="CR153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DU152" i="3"/>
  <c r="DT152" i="3"/>
  <c r="DS152" i="3"/>
  <c r="DR152" i="3"/>
  <c r="DQ152" i="3"/>
  <c r="DP152" i="3"/>
  <c r="DO152" i="3"/>
  <c r="DN152" i="3"/>
  <c r="DM152" i="3"/>
  <c r="DL152" i="3"/>
  <c r="DK152" i="3"/>
  <c r="DJ152" i="3"/>
  <c r="DI152" i="3"/>
  <c r="DH152" i="3"/>
  <c r="DG152" i="3"/>
  <c r="DF152" i="3"/>
  <c r="DE152" i="3"/>
  <c r="DD152" i="3"/>
  <c r="DC152" i="3"/>
  <c r="DB152" i="3"/>
  <c r="DA152" i="3"/>
  <c r="CZ152" i="3"/>
  <c r="CY152" i="3"/>
  <c r="CX152" i="3"/>
  <c r="CW152" i="3"/>
  <c r="CV152" i="3"/>
  <c r="CU152" i="3"/>
  <c r="CT152" i="3"/>
  <c r="CS152" i="3"/>
  <c r="CR152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DU151" i="3"/>
  <c r="DT151" i="3"/>
  <c r="DS151" i="3"/>
  <c r="DR151" i="3"/>
  <c r="DQ151" i="3"/>
  <c r="DP151" i="3"/>
  <c r="DO151" i="3"/>
  <c r="DN151" i="3"/>
  <c r="DM151" i="3"/>
  <c r="DL151" i="3"/>
  <c r="DK151" i="3"/>
  <c r="DJ151" i="3"/>
  <c r="DI151" i="3"/>
  <c r="DH151" i="3"/>
  <c r="DG151" i="3"/>
  <c r="DF151" i="3"/>
  <c r="DE151" i="3"/>
  <c r="DD151" i="3"/>
  <c r="DC151" i="3"/>
  <c r="DB151" i="3"/>
  <c r="DA151" i="3"/>
  <c r="CZ151" i="3"/>
  <c r="CY151" i="3"/>
  <c r="CX151" i="3"/>
  <c r="CW151" i="3"/>
  <c r="CV151" i="3"/>
  <c r="CU151" i="3"/>
  <c r="CT151" i="3"/>
  <c r="CS151" i="3"/>
  <c r="CR151" i="3"/>
  <c r="CQ151" i="3"/>
  <c r="CP151" i="3"/>
  <c r="CO151" i="3"/>
  <c r="CN151" i="3"/>
  <c r="CM151" i="3"/>
  <c r="CL151" i="3"/>
  <c r="CK151" i="3"/>
  <c r="CJ151" i="3"/>
  <c r="CI151" i="3"/>
  <c r="CH151" i="3"/>
  <c r="CG151" i="3"/>
  <c r="CF151" i="3"/>
  <c r="CE151" i="3"/>
  <c r="CD151" i="3"/>
  <c r="CC151" i="3"/>
  <c r="CB151" i="3"/>
  <c r="CA151" i="3"/>
  <c r="BZ151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DU150" i="3"/>
  <c r="DT150" i="3"/>
  <c r="DS150" i="3"/>
  <c r="DR150" i="3"/>
  <c r="DQ150" i="3"/>
  <c r="DP150" i="3"/>
  <c r="DO150" i="3"/>
  <c r="DN150" i="3"/>
  <c r="DM150" i="3"/>
  <c r="DL150" i="3"/>
  <c r="DK150" i="3"/>
  <c r="DJ150" i="3"/>
  <c r="DI150" i="3"/>
  <c r="DH150" i="3"/>
  <c r="DG150" i="3"/>
  <c r="DF150" i="3"/>
  <c r="DE150" i="3"/>
  <c r="DD150" i="3"/>
  <c r="DC150" i="3"/>
  <c r="DB150" i="3"/>
  <c r="DA150" i="3"/>
  <c r="CZ150" i="3"/>
  <c r="CY150" i="3"/>
  <c r="CX150" i="3"/>
  <c r="CW150" i="3"/>
  <c r="CV150" i="3"/>
  <c r="CU150" i="3"/>
  <c r="CT150" i="3"/>
  <c r="CS150" i="3"/>
  <c r="CR150" i="3"/>
  <c r="CQ150" i="3"/>
  <c r="CP150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DU149" i="3"/>
  <c r="DT149" i="3"/>
  <c r="DS149" i="3"/>
  <c r="DR149" i="3"/>
  <c r="DQ149" i="3"/>
  <c r="DP149" i="3"/>
  <c r="DO149" i="3"/>
  <c r="DN149" i="3"/>
  <c r="DM149" i="3"/>
  <c r="DL149" i="3"/>
  <c r="DK149" i="3"/>
  <c r="DJ149" i="3"/>
  <c r="DI149" i="3"/>
  <c r="DH149" i="3"/>
  <c r="DG149" i="3"/>
  <c r="DF149" i="3"/>
  <c r="DE149" i="3"/>
  <c r="DD149" i="3"/>
  <c r="DC149" i="3"/>
  <c r="DB149" i="3"/>
  <c r="DA149" i="3"/>
  <c r="CZ149" i="3"/>
  <c r="CY149" i="3"/>
  <c r="CX149" i="3"/>
  <c r="CW149" i="3"/>
  <c r="CV149" i="3"/>
  <c r="CU149" i="3"/>
  <c r="CT149" i="3"/>
  <c r="CS149" i="3"/>
  <c r="CR149" i="3"/>
  <c r="CQ149" i="3"/>
  <c r="CP149" i="3"/>
  <c r="CO149" i="3"/>
  <c r="CN149" i="3"/>
  <c r="CM149" i="3"/>
  <c r="CL149" i="3"/>
  <c r="CK149" i="3"/>
  <c r="CJ149" i="3"/>
  <c r="CI149" i="3"/>
  <c r="CH149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DU148" i="3"/>
  <c r="DT148" i="3"/>
  <c r="DS148" i="3"/>
  <c r="DR148" i="3"/>
  <c r="DQ148" i="3"/>
  <c r="DP148" i="3"/>
  <c r="DO148" i="3"/>
  <c r="DN148" i="3"/>
  <c r="DM148" i="3"/>
  <c r="DL148" i="3"/>
  <c r="DK148" i="3"/>
  <c r="DJ148" i="3"/>
  <c r="DI148" i="3"/>
  <c r="DH148" i="3"/>
  <c r="DG148" i="3"/>
  <c r="DF148" i="3"/>
  <c r="DE148" i="3"/>
  <c r="DD148" i="3"/>
  <c r="DC148" i="3"/>
  <c r="DB148" i="3"/>
  <c r="DA148" i="3"/>
  <c r="CZ148" i="3"/>
  <c r="CY148" i="3"/>
  <c r="CX148" i="3"/>
  <c r="CW148" i="3"/>
  <c r="CV148" i="3"/>
  <c r="CU148" i="3"/>
  <c r="CT148" i="3"/>
  <c r="CS148" i="3"/>
  <c r="CR148" i="3"/>
  <c r="CQ148" i="3"/>
  <c r="CP148" i="3"/>
  <c r="CO148" i="3"/>
  <c r="CN148" i="3"/>
  <c r="CM148" i="3"/>
  <c r="CL148" i="3"/>
  <c r="CK148" i="3"/>
  <c r="CJ148" i="3"/>
  <c r="CI148" i="3"/>
  <c r="CH148" i="3"/>
  <c r="CG148" i="3"/>
  <c r="CF148" i="3"/>
  <c r="CE148" i="3"/>
  <c r="CD148" i="3"/>
  <c r="CC148" i="3"/>
  <c r="CB148" i="3"/>
  <c r="CA148" i="3"/>
  <c r="BZ148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DU147" i="3"/>
  <c r="DT147" i="3"/>
  <c r="DS147" i="3"/>
  <c r="DR147" i="3"/>
  <c r="DQ147" i="3"/>
  <c r="DP147" i="3"/>
  <c r="DO147" i="3"/>
  <c r="DN147" i="3"/>
  <c r="DM147" i="3"/>
  <c r="DL147" i="3"/>
  <c r="DK147" i="3"/>
  <c r="DJ147" i="3"/>
  <c r="DI147" i="3"/>
  <c r="DH147" i="3"/>
  <c r="DG147" i="3"/>
  <c r="DF147" i="3"/>
  <c r="DE147" i="3"/>
  <c r="DD147" i="3"/>
  <c r="DC147" i="3"/>
  <c r="DB147" i="3"/>
  <c r="DA147" i="3"/>
  <c r="CZ147" i="3"/>
  <c r="CY147" i="3"/>
  <c r="CX147" i="3"/>
  <c r="CW147" i="3"/>
  <c r="CV147" i="3"/>
  <c r="CU147" i="3"/>
  <c r="CT147" i="3"/>
  <c r="CS147" i="3"/>
  <c r="CR147" i="3"/>
  <c r="CQ147" i="3"/>
  <c r="CP147" i="3"/>
  <c r="CO147" i="3"/>
  <c r="CN147" i="3"/>
  <c r="CM147" i="3"/>
  <c r="CL147" i="3"/>
  <c r="CK147" i="3"/>
  <c r="CJ147" i="3"/>
  <c r="CI147" i="3"/>
  <c r="CH147" i="3"/>
  <c r="CG147" i="3"/>
  <c r="CF147" i="3"/>
  <c r="CE147" i="3"/>
  <c r="CD147" i="3"/>
  <c r="CC147" i="3"/>
  <c r="CB147" i="3"/>
  <c r="CA147" i="3"/>
  <c r="BZ147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DU146" i="3"/>
  <c r="DT146" i="3"/>
  <c r="DS146" i="3"/>
  <c r="DR146" i="3"/>
  <c r="DQ146" i="3"/>
  <c r="DP146" i="3"/>
  <c r="DO146" i="3"/>
  <c r="DN146" i="3"/>
  <c r="DM146" i="3"/>
  <c r="DL146" i="3"/>
  <c r="DK146" i="3"/>
  <c r="DJ146" i="3"/>
  <c r="DI146" i="3"/>
  <c r="DH146" i="3"/>
  <c r="DG146" i="3"/>
  <c r="DF146" i="3"/>
  <c r="DE146" i="3"/>
  <c r="DD146" i="3"/>
  <c r="DC146" i="3"/>
  <c r="DB146" i="3"/>
  <c r="DA146" i="3"/>
  <c r="CZ146" i="3"/>
  <c r="CY146" i="3"/>
  <c r="CX146" i="3"/>
  <c r="CW146" i="3"/>
  <c r="CV146" i="3"/>
  <c r="CU146" i="3"/>
  <c r="CT146" i="3"/>
  <c r="CS146" i="3"/>
  <c r="CR146" i="3"/>
  <c r="CQ146" i="3"/>
  <c r="CP146" i="3"/>
  <c r="CO146" i="3"/>
  <c r="CN146" i="3"/>
  <c r="CM146" i="3"/>
  <c r="CL146" i="3"/>
  <c r="CK146" i="3"/>
  <c r="CJ146" i="3"/>
  <c r="CI146" i="3"/>
  <c r="CH146" i="3"/>
  <c r="CG146" i="3"/>
  <c r="CF146" i="3"/>
  <c r="CE146" i="3"/>
  <c r="CD146" i="3"/>
  <c r="CC146" i="3"/>
  <c r="CB146" i="3"/>
  <c r="CA146" i="3"/>
  <c r="BZ146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DU145" i="3"/>
  <c r="DT145" i="3"/>
  <c r="DS145" i="3"/>
  <c r="DR145" i="3"/>
  <c r="DQ145" i="3"/>
  <c r="DP145" i="3"/>
  <c r="DO145" i="3"/>
  <c r="DN145" i="3"/>
  <c r="DM145" i="3"/>
  <c r="DL145" i="3"/>
  <c r="DK145" i="3"/>
  <c r="DJ145" i="3"/>
  <c r="DI145" i="3"/>
  <c r="DH145" i="3"/>
  <c r="DG145" i="3"/>
  <c r="DF145" i="3"/>
  <c r="DE145" i="3"/>
  <c r="DD145" i="3"/>
  <c r="DC145" i="3"/>
  <c r="DB145" i="3"/>
  <c r="DA145" i="3"/>
  <c r="CZ145" i="3"/>
  <c r="CY145" i="3"/>
  <c r="CX145" i="3"/>
  <c r="CW145" i="3"/>
  <c r="CV145" i="3"/>
  <c r="CU145" i="3"/>
  <c r="CT145" i="3"/>
  <c r="CS145" i="3"/>
  <c r="CR145" i="3"/>
  <c r="CQ145" i="3"/>
  <c r="CP145" i="3"/>
  <c r="CO145" i="3"/>
  <c r="CN145" i="3"/>
  <c r="CM145" i="3"/>
  <c r="CL145" i="3"/>
  <c r="CK145" i="3"/>
  <c r="CJ145" i="3"/>
  <c r="CI145" i="3"/>
  <c r="CH145" i="3"/>
  <c r="CG145" i="3"/>
  <c r="CF145" i="3"/>
  <c r="CE145" i="3"/>
  <c r="CD145" i="3"/>
  <c r="CC145" i="3"/>
  <c r="CB145" i="3"/>
  <c r="CA145" i="3"/>
  <c r="BZ145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A145" i="3"/>
  <c r="DU144" i="3"/>
  <c r="DT144" i="3"/>
  <c r="DS144" i="3"/>
  <c r="DR144" i="3"/>
  <c r="DQ144" i="3"/>
  <c r="DP144" i="3"/>
  <c r="DO144" i="3"/>
  <c r="DN144" i="3"/>
  <c r="DM144" i="3"/>
  <c r="DL144" i="3"/>
  <c r="DK144" i="3"/>
  <c r="DJ144" i="3"/>
  <c r="DI144" i="3"/>
  <c r="DH144" i="3"/>
  <c r="DG144" i="3"/>
  <c r="DF144" i="3"/>
  <c r="DE144" i="3"/>
  <c r="DD144" i="3"/>
  <c r="DC144" i="3"/>
  <c r="DB144" i="3"/>
  <c r="DA144" i="3"/>
  <c r="CZ144" i="3"/>
  <c r="CY144" i="3"/>
  <c r="CX144" i="3"/>
  <c r="CW144" i="3"/>
  <c r="CV144" i="3"/>
  <c r="CU144" i="3"/>
  <c r="CT144" i="3"/>
  <c r="CS144" i="3"/>
  <c r="CR144" i="3"/>
  <c r="CQ144" i="3"/>
  <c r="CP144" i="3"/>
  <c r="CO144" i="3"/>
  <c r="CN144" i="3"/>
  <c r="CM144" i="3"/>
  <c r="CL144" i="3"/>
  <c r="CK144" i="3"/>
  <c r="CJ144" i="3"/>
  <c r="CI144" i="3"/>
  <c r="CH144" i="3"/>
  <c r="CG144" i="3"/>
  <c r="CF144" i="3"/>
  <c r="CE144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B144" i="3"/>
  <c r="A144" i="3"/>
  <c r="DU143" i="3"/>
  <c r="DT143" i="3"/>
  <c r="DS143" i="3"/>
  <c r="DR143" i="3"/>
  <c r="DQ143" i="3"/>
  <c r="DP143" i="3"/>
  <c r="DO143" i="3"/>
  <c r="DN143" i="3"/>
  <c r="DM143" i="3"/>
  <c r="DL143" i="3"/>
  <c r="DK143" i="3"/>
  <c r="DJ143" i="3"/>
  <c r="DI143" i="3"/>
  <c r="DH143" i="3"/>
  <c r="DG143" i="3"/>
  <c r="DF143" i="3"/>
  <c r="DE143" i="3"/>
  <c r="DD143" i="3"/>
  <c r="DC143" i="3"/>
  <c r="DB143" i="3"/>
  <c r="DA143" i="3"/>
  <c r="CZ143" i="3"/>
  <c r="CY143" i="3"/>
  <c r="CX143" i="3"/>
  <c r="CW143" i="3"/>
  <c r="CV143" i="3"/>
  <c r="CU143" i="3"/>
  <c r="CT143" i="3"/>
  <c r="CS143" i="3"/>
  <c r="CR143" i="3"/>
  <c r="CQ143" i="3"/>
  <c r="CP143" i="3"/>
  <c r="CO143" i="3"/>
  <c r="CN143" i="3"/>
  <c r="CM143" i="3"/>
  <c r="CL143" i="3"/>
  <c r="CK143" i="3"/>
  <c r="CJ143" i="3"/>
  <c r="CI143" i="3"/>
  <c r="CH143" i="3"/>
  <c r="CG143" i="3"/>
  <c r="CF143" i="3"/>
  <c r="CE143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C143" i="3"/>
  <c r="A143" i="3"/>
  <c r="DU142" i="3"/>
  <c r="DT142" i="3"/>
  <c r="DS142" i="3"/>
  <c r="DR142" i="3"/>
  <c r="DQ142" i="3"/>
  <c r="DP142" i="3"/>
  <c r="DO142" i="3"/>
  <c r="DN142" i="3"/>
  <c r="DM142" i="3"/>
  <c r="DL142" i="3"/>
  <c r="DK142" i="3"/>
  <c r="DJ142" i="3"/>
  <c r="DI142" i="3"/>
  <c r="DH142" i="3"/>
  <c r="DG142" i="3"/>
  <c r="DF142" i="3"/>
  <c r="DE142" i="3"/>
  <c r="DD142" i="3"/>
  <c r="DC142" i="3"/>
  <c r="DB142" i="3"/>
  <c r="DA142" i="3"/>
  <c r="CZ142" i="3"/>
  <c r="CY142" i="3"/>
  <c r="CX142" i="3"/>
  <c r="CW142" i="3"/>
  <c r="CV142" i="3"/>
  <c r="CU142" i="3"/>
  <c r="CT142" i="3"/>
  <c r="CS142" i="3"/>
  <c r="CR142" i="3"/>
  <c r="CQ142" i="3"/>
  <c r="CP142" i="3"/>
  <c r="CO142" i="3"/>
  <c r="CN142" i="3"/>
  <c r="CM142" i="3"/>
  <c r="CL142" i="3"/>
  <c r="CK142" i="3"/>
  <c r="CJ142" i="3"/>
  <c r="CI142" i="3"/>
  <c r="CH142" i="3"/>
  <c r="CG142" i="3"/>
  <c r="CF142" i="3"/>
  <c r="CE142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B142" i="3"/>
  <c r="A142" i="3"/>
  <c r="DU141" i="3"/>
  <c r="DT141" i="3"/>
  <c r="DS141" i="3"/>
  <c r="DR141" i="3"/>
  <c r="DQ141" i="3"/>
  <c r="DP141" i="3"/>
  <c r="DO141" i="3"/>
  <c r="DN141" i="3"/>
  <c r="DM141" i="3"/>
  <c r="DL141" i="3"/>
  <c r="DK141" i="3"/>
  <c r="DJ141" i="3"/>
  <c r="DI141" i="3"/>
  <c r="DH141" i="3"/>
  <c r="DG141" i="3"/>
  <c r="DF141" i="3"/>
  <c r="DE141" i="3"/>
  <c r="DD141" i="3"/>
  <c r="DC141" i="3"/>
  <c r="DB141" i="3"/>
  <c r="DA141" i="3"/>
  <c r="CZ141" i="3"/>
  <c r="CY141" i="3"/>
  <c r="CX141" i="3"/>
  <c r="CW141" i="3"/>
  <c r="CV141" i="3"/>
  <c r="CU141" i="3"/>
  <c r="CT141" i="3"/>
  <c r="CS141" i="3"/>
  <c r="CR141" i="3"/>
  <c r="CQ141" i="3"/>
  <c r="CP141" i="3"/>
  <c r="CO141" i="3"/>
  <c r="CN141" i="3"/>
  <c r="CM141" i="3"/>
  <c r="CL141" i="3"/>
  <c r="CK141" i="3"/>
  <c r="CJ141" i="3"/>
  <c r="CI141" i="3"/>
  <c r="CH141" i="3"/>
  <c r="CG141" i="3"/>
  <c r="CF141" i="3"/>
  <c r="CE141" i="3"/>
  <c r="CD141" i="3"/>
  <c r="CC141" i="3"/>
  <c r="CB141" i="3"/>
  <c r="CA141" i="3"/>
  <c r="BZ141" i="3"/>
  <c r="BY141" i="3"/>
  <c r="BX141" i="3"/>
  <c r="BW141" i="3"/>
  <c r="BV141" i="3"/>
  <c r="BU141" i="3"/>
  <c r="BT141" i="3"/>
  <c r="BS141" i="3"/>
  <c r="BR141" i="3"/>
  <c r="BQ141" i="3"/>
  <c r="BP141" i="3"/>
  <c r="BO141" i="3"/>
  <c r="BN141" i="3"/>
  <c r="C141" i="3"/>
  <c r="B141" i="3"/>
  <c r="A141" i="3"/>
  <c r="DU140" i="3"/>
  <c r="DT140" i="3"/>
  <c r="DS140" i="3"/>
  <c r="DR140" i="3"/>
  <c r="DQ140" i="3"/>
  <c r="DP140" i="3"/>
  <c r="DO140" i="3"/>
  <c r="DN140" i="3"/>
  <c r="DM140" i="3"/>
  <c r="DL140" i="3"/>
  <c r="DK140" i="3"/>
  <c r="DJ140" i="3"/>
  <c r="DI140" i="3"/>
  <c r="DH140" i="3"/>
  <c r="DG140" i="3"/>
  <c r="DF140" i="3"/>
  <c r="DE140" i="3"/>
  <c r="DD140" i="3"/>
  <c r="DC140" i="3"/>
  <c r="DB140" i="3"/>
  <c r="DA140" i="3"/>
  <c r="CZ140" i="3"/>
  <c r="CY140" i="3"/>
  <c r="CX140" i="3"/>
  <c r="CW140" i="3"/>
  <c r="CV140" i="3"/>
  <c r="CU140" i="3"/>
  <c r="CT140" i="3"/>
  <c r="CS140" i="3"/>
  <c r="CR140" i="3"/>
  <c r="CQ140" i="3"/>
  <c r="CP140" i="3"/>
  <c r="CO140" i="3"/>
  <c r="CN140" i="3"/>
  <c r="CM140" i="3"/>
  <c r="CL140" i="3"/>
  <c r="CK140" i="3"/>
  <c r="CJ140" i="3"/>
  <c r="CI140" i="3"/>
  <c r="CH140" i="3"/>
  <c r="CG140" i="3"/>
  <c r="CF140" i="3"/>
  <c r="CE140" i="3"/>
  <c r="CD140" i="3"/>
  <c r="CC140" i="3"/>
  <c r="CB140" i="3"/>
  <c r="CA140" i="3"/>
  <c r="BZ140" i="3"/>
  <c r="BY140" i="3"/>
  <c r="BX140" i="3"/>
  <c r="BW140" i="3"/>
  <c r="BV140" i="3"/>
  <c r="BU140" i="3"/>
  <c r="BT140" i="3"/>
  <c r="BS140" i="3"/>
  <c r="BR140" i="3"/>
  <c r="BQ140" i="3"/>
  <c r="BP140" i="3"/>
  <c r="BO140" i="3"/>
  <c r="BN140" i="3"/>
  <c r="B140" i="3"/>
  <c r="A140" i="3"/>
  <c r="DU139" i="3"/>
  <c r="DT139" i="3"/>
  <c r="DS139" i="3"/>
  <c r="DR139" i="3"/>
  <c r="DQ139" i="3"/>
  <c r="DP139" i="3"/>
  <c r="DO139" i="3"/>
  <c r="DN139" i="3"/>
  <c r="DM139" i="3"/>
  <c r="DL139" i="3"/>
  <c r="DK139" i="3"/>
  <c r="DJ139" i="3"/>
  <c r="DI139" i="3"/>
  <c r="DH139" i="3"/>
  <c r="DG139" i="3"/>
  <c r="DF139" i="3"/>
  <c r="DE139" i="3"/>
  <c r="DD139" i="3"/>
  <c r="DC139" i="3"/>
  <c r="DB139" i="3"/>
  <c r="DA139" i="3"/>
  <c r="CZ139" i="3"/>
  <c r="CY139" i="3"/>
  <c r="CX139" i="3"/>
  <c r="CW139" i="3"/>
  <c r="CV139" i="3"/>
  <c r="CU139" i="3"/>
  <c r="CT139" i="3"/>
  <c r="CS139" i="3"/>
  <c r="CR139" i="3"/>
  <c r="CQ139" i="3"/>
  <c r="CP139" i="3"/>
  <c r="CO139" i="3"/>
  <c r="CN139" i="3"/>
  <c r="CM139" i="3"/>
  <c r="CL139" i="3"/>
  <c r="CK139" i="3"/>
  <c r="CJ139" i="3"/>
  <c r="CI139" i="3"/>
  <c r="CH139" i="3"/>
  <c r="CG139" i="3"/>
  <c r="CF139" i="3"/>
  <c r="CE139" i="3"/>
  <c r="CD139" i="3"/>
  <c r="CC139" i="3"/>
  <c r="CB139" i="3"/>
  <c r="CA139" i="3"/>
  <c r="BZ139" i="3"/>
  <c r="BY139" i="3"/>
  <c r="BX139" i="3"/>
  <c r="BW139" i="3"/>
  <c r="BV139" i="3"/>
  <c r="BU139" i="3"/>
  <c r="BT139" i="3"/>
  <c r="BS139" i="3"/>
  <c r="BR139" i="3"/>
  <c r="BQ139" i="3"/>
  <c r="BP139" i="3"/>
  <c r="BO139" i="3"/>
  <c r="BN139" i="3"/>
  <c r="A139" i="3"/>
  <c r="DU138" i="3"/>
  <c r="DT138" i="3"/>
  <c r="DS138" i="3"/>
  <c r="DR138" i="3"/>
  <c r="DQ138" i="3"/>
  <c r="DP138" i="3"/>
  <c r="DO138" i="3"/>
  <c r="DN138" i="3"/>
  <c r="DM138" i="3"/>
  <c r="DL138" i="3"/>
  <c r="DK138" i="3"/>
  <c r="DJ138" i="3"/>
  <c r="DI138" i="3"/>
  <c r="DH138" i="3"/>
  <c r="DG138" i="3"/>
  <c r="DF138" i="3"/>
  <c r="DE138" i="3"/>
  <c r="DD138" i="3"/>
  <c r="DC138" i="3"/>
  <c r="DB138" i="3"/>
  <c r="DA138" i="3"/>
  <c r="CZ138" i="3"/>
  <c r="CY138" i="3"/>
  <c r="CX138" i="3"/>
  <c r="CW138" i="3"/>
  <c r="CV138" i="3"/>
  <c r="CU138" i="3"/>
  <c r="CT138" i="3"/>
  <c r="CS138" i="3"/>
  <c r="CR138" i="3"/>
  <c r="CQ138" i="3"/>
  <c r="CP138" i="3"/>
  <c r="CO138" i="3"/>
  <c r="CN138" i="3"/>
  <c r="CM138" i="3"/>
  <c r="CL138" i="3"/>
  <c r="CK138" i="3"/>
  <c r="CJ138" i="3"/>
  <c r="CI138" i="3"/>
  <c r="CH138" i="3"/>
  <c r="CG138" i="3"/>
  <c r="CF138" i="3"/>
  <c r="CE138" i="3"/>
  <c r="CD138" i="3"/>
  <c r="CC138" i="3"/>
  <c r="CB138" i="3"/>
  <c r="CA138" i="3"/>
  <c r="BZ138" i="3"/>
  <c r="BY138" i="3"/>
  <c r="BX138" i="3"/>
  <c r="BW138" i="3"/>
  <c r="BV138" i="3"/>
  <c r="BU138" i="3"/>
  <c r="BT138" i="3"/>
  <c r="BS138" i="3"/>
  <c r="BR138" i="3"/>
  <c r="BQ138" i="3"/>
  <c r="BP138" i="3"/>
  <c r="BO138" i="3"/>
  <c r="BN138" i="3"/>
  <c r="A138" i="3"/>
  <c r="DU137" i="3"/>
  <c r="DT137" i="3"/>
  <c r="DS137" i="3"/>
  <c r="DR137" i="3"/>
  <c r="DQ137" i="3"/>
  <c r="DP137" i="3"/>
  <c r="DO137" i="3"/>
  <c r="DN137" i="3"/>
  <c r="DM137" i="3"/>
  <c r="DL137" i="3"/>
  <c r="DK137" i="3"/>
  <c r="DJ137" i="3"/>
  <c r="DI137" i="3"/>
  <c r="DH137" i="3"/>
  <c r="DG137" i="3"/>
  <c r="DF137" i="3"/>
  <c r="DE137" i="3"/>
  <c r="DD137" i="3"/>
  <c r="DC137" i="3"/>
  <c r="DB137" i="3"/>
  <c r="DA137" i="3"/>
  <c r="CZ137" i="3"/>
  <c r="CY137" i="3"/>
  <c r="CX137" i="3"/>
  <c r="CW137" i="3"/>
  <c r="CV137" i="3"/>
  <c r="CU137" i="3"/>
  <c r="CT137" i="3"/>
  <c r="CS137" i="3"/>
  <c r="CR137" i="3"/>
  <c r="CQ137" i="3"/>
  <c r="CP137" i="3"/>
  <c r="CO137" i="3"/>
  <c r="CN137" i="3"/>
  <c r="CM137" i="3"/>
  <c r="CL137" i="3"/>
  <c r="CK137" i="3"/>
  <c r="CJ137" i="3"/>
  <c r="CI137" i="3"/>
  <c r="CH137" i="3"/>
  <c r="CG137" i="3"/>
  <c r="CF137" i="3"/>
  <c r="CE137" i="3"/>
  <c r="CD137" i="3"/>
  <c r="CC137" i="3"/>
  <c r="CB137" i="3"/>
  <c r="CA137" i="3"/>
  <c r="BZ137" i="3"/>
  <c r="BY137" i="3"/>
  <c r="BX137" i="3"/>
  <c r="BW137" i="3"/>
  <c r="BV137" i="3"/>
  <c r="BU137" i="3"/>
  <c r="BT137" i="3"/>
  <c r="BS137" i="3"/>
  <c r="BR137" i="3"/>
  <c r="BQ137" i="3"/>
  <c r="BP137" i="3"/>
  <c r="BO137" i="3"/>
  <c r="BN137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DU136" i="3"/>
  <c r="DT136" i="3"/>
  <c r="DS136" i="3"/>
  <c r="DR136" i="3"/>
  <c r="DQ136" i="3"/>
  <c r="DP136" i="3"/>
  <c r="DO136" i="3"/>
  <c r="DN136" i="3"/>
  <c r="DM136" i="3"/>
  <c r="DL136" i="3"/>
  <c r="DK136" i="3"/>
  <c r="DJ136" i="3"/>
  <c r="DI136" i="3"/>
  <c r="DH136" i="3"/>
  <c r="DG136" i="3"/>
  <c r="DF136" i="3"/>
  <c r="DE136" i="3"/>
  <c r="DD136" i="3"/>
  <c r="DC136" i="3"/>
  <c r="DB136" i="3"/>
  <c r="DA136" i="3"/>
  <c r="CZ136" i="3"/>
  <c r="CY136" i="3"/>
  <c r="CX136" i="3"/>
  <c r="CW136" i="3"/>
  <c r="CV136" i="3"/>
  <c r="CU136" i="3"/>
  <c r="CT136" i="3"/>
  <c r="CS136" i="3"/>
  <c r="CR136" i="3"/>
  <c r="CQ136" i="3"/>
  <c r="CP136" i="3"/>
  <c r="CO136" i="3"/>
  <c r="CN136" i="3"/>
  <c r="CM136" i="3"/>
  <c r="CL136" i="3"/>
  <c r="CK136" i="3"/>
  <c r="CJ136" i="3"/>
  <c r="CI136" i="3"/>
  <c r="CH136" i="3"/>
  <c r="CG136" i="3"/>
  <c r="CF136" i="3"/>
  <c r="CE136" i="3"/>
  <c r="CD136" i="3"/>
  <c r="CC136" i="3"/>
  <c r="CB136" i="3"/>
  <c r="CA136" i="3"/>
  <c r="BZ136" i="3"/>
  <c r="BY136" i="3"/>
  <c r="BX136" i="3"/>
  <c r="BW136" i="3"/>
  <c r="BV136" i="3"/>
  <c r="BU136" i="3"/>
  <c r="BT136" i="3"/>
  <c r="BS136" i="3"/>
  <c r="BR136" i="3"/>
  <c r="BQ136" i="3"/>
  <c r="BP136" i="3"/>
  <c r="BO136" i="3"/>
  <c r="BN136" i="3"/>
  <c r="DU135" i="3"/>
  <c r="DT135" i="3"/>
  <c r="DS135" i="3"/>
  <c r="DR135" i="3"/>
  <c r="DQ135" i="3"/>
  <c r="DP135" i="3"/>
  <c r="DO135" i="3"/>
  <c r="DN135" i="3"/>
  <c r="DM135" i="3"/>
  <c r="DL135" i="3"/>
  <c r="DK135" i="3"/>
  <c r="DJ135" i="3"/>
  <c r="DI135" i="3"/>
  <c r="DH135" i="3"/>
  <c r="DG135" i="3"/>
  <c r="DF135" i="3"/>
  <c r="DE135" i="3"/>
  <c r="DD135" i="3"/>
  <c r="DC135" i="3"/>
  <c r="DB135" i="3"/>
  <c r="DA135" i="3"/>
  <c r="CZ135" i="3"/>
  <c r="CY135" i="3"/>
  <c r="CX135" i="3"/>
  <c r="CW135" i="3"/>
  <c r="CV135" i="3"/>
  <c r="CU135" i="3"/>
  <c r="CT135" i="3"/>
  <c r="CS135" i="3"/>
  <c r="CR135" i="3"/>
  <c r="CQ135" i="3"/>
  <c r="CP135" i="3"/>
  <c r="CO135" i="3"/>
  <c r="CN135" i="3"/>
  <c r="CM135" i="3"/>
  <c r="CL135" i="3"/>
  <c r="CK135" i="3"/>
  <c r="CJ135" i="3"/>
  <c r="CI135" i="3"/>
  <c r="CH135" i="3"/>
  <c r="CG135" i="3"/>
  <c r="CF135" i="3"/>
  <c r="CE135" i="3"/>
  <c r="CD135" i="3"/>
  <c r="CC135" i="3"/>
  <c r="CB135" i="3"/>
  <c r="CA135" i="3"/>
  <c r="BZ135" i="3"/>
  <c r="BY135" i="3"/>
  <c r="BX135" i="3"/>
  <c r="BW135" i="3"/>
  <c r="BV135" i="3"/>
  <c r="BU135" i="3"/>
  <c r="BT135" i="3"/>
  <c r="BS135" i="3"/>
  <c r="BR135" i="3"/>
  <c r="BQ135" i="3"/>
  <c r="BP135" i="3"/>
  <c r="BO135" i="3"/>
  <c r="BN135" i="3"/>
  <c r="DU134" i="3"/>
  <c r="DT134" i="3"/>
  <c r="DS134" i="3"/>
  <c r="DR134" i="3"/>
  <c r="DQ134" i="3"/>
  <c r="DP134" i="3"/>
  <c r="DO134" i="3"/>
  <c r="DN134" i="3"/>
  <c r="DM134" i="3"/>
  <c r="DL134" i="3"/>
  <c r="DK134" i="3"/>
  <c r="DJ134" i="3"/>
  <c r="DI134" i="3"/>
  <c r="DH134" i="3"/>
  <c r="DG134" i="3"/>
  <c r="DF134" i="3"/>
  <c r="DE134" i="3"/>
  <c r="DD134" i="3"/>
  <c r="DC134" i="3"/>
  <c r="DB134" i="3"/>
  <c r="DA134" i="3"/>
  <c r="CZ134" i="3"/>
  <c r="CY134" i="3"/>
  <c r="CX134" i="3"/>
  <c r="CW134" i="3"/>
  <c r="CV134" i="3"/>
  <c r="CU134" i="3"/>
  <c r="CT134" i="3"/>
  <c r="CS134" i="3"/>
  <c r="CR134" i="3"/>
  <c r="CQ134" i="3"/>
  <c r="CP134" i="3"/>
  <c r="CO134" i="3"/>
  <c r="CN134" i="3"/>
  <c r="CM134" i="3"/>
  <c r="CL134" i="3"/>
  <c r="CK134" i="3"/>
  <c r="CJ134" i="3"/>
  <c r="CI134" i="3"/>
  <c r="CH134" i="3"/>
  <c r="CG134" i="3"/>
  <c r="CF134" i="3"/>
  <c r="CE134" i="3"/>
  <c r="CD134" i="3"/>
  <c r="CC134" i="3"/>
  <c r="CB134" i="3"/>
  <c r="CA134" i="3"/>
  <c r="BZ134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DU133" i="3"/>
  <c r="DT133" i="3"/>
  <c r="DS133" i="3"/>
  <c r="DR133" i="3"/>
  <c r="DQ133" i="3"/>
  <c r="DP133" i="3"/>
  <c r="DO133" i="3"/>
  <c r="DN133" i="3"/>
  <c r="DM133" i="3"/>
  <c r="DL133" i="3"/>
  <c r="DK133" i="3"/>
  <c r="DJ133" i="3"/>
  <c r="DI133" i="3"/>
  <c r="DH133" i="3"/>
  <c r="DG133" i="3"/>
  <c r="DF133" i="3"/>
  <c r="DE133" i="3"/>
  <c r="DD133" i="3"/>
  <c r="DC133" i="3"/>
  <c r="DB133" i="3"/>
  <c r="DA133" i="3"/>
  <c r="CZ133" i="3"/>
  <c r="CY133" i="3"/>
  <c r="CX133" i="3"/>
  <c r="CW133" i="3"/>
  <c r="CV133" i="3"/>
  <c r="CU133" i="3"/>
  <c r="CT133" i="3"/>
  <c r="CS133" i="3"/>
  <c r="CR133" i="3"/>
  <c r="CQ133" i="3"/>
  <c r="CP133" i="3"/>
  <c r="CO133" i="3"/>
  <c r="CN133" i="3"/>
  <c r="CM133" i="3"/>
  <c r="CL133" i="3"/>
  <c r="CK133" i="3"/>
  <c r="CJ133" i="3"/>
  <c r="CI133" i="3"/>
  <c r="CH133" i="3"/>
  <c r="CG133" i="3"/>
  <c r="CF133" i="3"/>
  <c r="CE133" i="3"/>
  <c r="CD133" i="3"/>
  <c r="CC133" i="3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DU132" i="3"/>
  <c r="DT132" i="3"/>
  <c r="DS132" i="3"/>
  <c r="DR132" i="3"/>
  <c r="DQ132" i="3"/>
  <c r="DP132" i="3"/>
  <c r="DO132" i="3"/>
  <c r="DN132" i="3"/>
  <c r="DM132" i="3"/>
  <c r="DL132" i="3"/>
  <c r="DK132" i="3"/>
  <c r="DJ132" i="3"/>
  <c r="DI132" i="3"/>
  <c r="DH132" i="3"/>
  <c r="DG132" i="3"/>
  <c r="DF132" i="3"/>
  <c r="DE132" i="3"/>
  <c r="DD132" i="3"/>
  <c r="DC132" i="3"/>
  <c r="DB132" i="3"/>
  <c r="DA132" i="3"/>
  <c r="CZ132" i="3"/>
  <c r="CY132" i="3"/>
  <c r="CX132" i="3"/>
  <c r="CW132" i="3"/>
  <c r="CV132" i="3"/>
  <c r="CU132" i="3"/>
  <c r="CT132" i="3"/>
  <c r="CS132" i="3"/>
  <c r="CR132" i="3"/>
  <c r="CQ132" i="3"/>
  <c r="CP132" i="3"/>
  <c r="CO132" i="3"/>
  <c r="CN132" i="3"/>
  <c r="CM132" i="3"/>
  <c r="CL132" i="3"/>
  <c r="CK132" i="3"/>
  <c r="CJ132" i="3"/>
  <c r="CI132" i="3"/>
  <c r="CH132" i="3"/>
  <c r="CG132" i="3"/>
  <c r="CF132" i="3"/>
  <c r="CE132" i="3"/>
  <c r="CD132" i="3"/>
  <c r="CC132" i="3"/>
  <c r="CB132" i="3"/>
  <c r="CA132" i="3"/>
  <c r="BZ132" i="3"/>
  <c r="BY132" i="3"/>
  <c r="BX132" i="3"/>
  <c r="BW132" i="3"/>
  <c r="BV132" i="3"/>
  <c r="BU132" i="3"/>
  <c r="BT132" i="3"/>
  <c r="BS132" i="3"/>
  <c r="BR132" i="3"/>
  <c r="BQ132" i="3"/>
  <c r="BP132" i="3"/>
  <c r="BO132" i="3"/>
  <c r="BN132" i="3"/>
  <c r="DU131" i="3"/>
  <c r="DT131" i="3"/>
  <c r="DS131" i="3"/>
  <c r="DR131" i="3"/>
  <c r="DQ131" i="3"/>
  <c r="DP131" i="3"/>
  <c r="DO131" i="3"/>
  <c r="DN131" i="3"/>
  <c r="DM131" i="3"/>
  <c r="DL131" i="3"/>
  <c r="DK131" i="3"/>
  <c r="DJ131" i="3"/>
  <c r="DI131" i="3"/>
  <c r="DH131" i="3"/>
  <c r="DG131" i="3"/>
  <c r="DF131" i="3"/>
  <c r="DE131" i="3"/>
  <c r="DD131" i="3"/>
  <c r="DC131" i="3"/>
  <c r="DB131" i="3"/>
  <c r="DA131" i="3"/>
  <c r="CZ131" i="3"/>
  <c r="CY131" i="3"/>
  <c r="CX131" i="3"/>
  <c r="CW131" i="3"/>
  <c r="CV131" i="3"/>
  <c r="CU131" i="3"/>
  <c r="CT131" i="3"/>
  <c r="CS131" i="3"/>
  <c r="CR131" i="3"/>
  <c r="CQ131" i="3"/>
  <c r="CP131" i="3"/>
  <c r="CO131" i="3"/>
  <c r="CN131" i="3"/>
  <c r="CM131" i="3"/>
  <c r="CL131" i="3"/>
  <c r="CK131" i="3"/>
  <c r="CJ131" i="3"/>
  <c r="CI131" i="3"/>
  <c r="CH131" i="3"/>
  <c r="CG131" i="3"/>
  <c r="CF131" i="3"/>
  <c r="CE131" i="3"/>
  <c r="CD131" i="3"/>
  <c r="CC131" i="3"/>
  <c r="CB131" i="3"/>
  <c r="CA131" i="3"/>
  <c r="BZ131" i="3"/>
  <c r="BY131" i="3"/>
  <c r="BX131" i="3"/>
  <c r="BW131" i="3"/>
  <c r="BV131" i="3"/>
  <c r="BU131" i="3"/>
  <c r="BT131" i="3"/>
  <c r="BS131" i="3"/>
  <c r="BR131" i="3"/>
  <c r="BQ131" i="3"/>
  <c r="BP131" i="3"/>
  <c r="BO131" i="3"/>
  <c r="BN131" i="3"/>
  <c r="DU130" i="3"/>
  <c r="DT130" i="3"/>
  <c r="DS130" i="3"/>
  <c r="DR130" i="3"/>
  <c r="DQ130" i="3"/>
  <c r="DP130" i="3"/>
  <c r="DO130" i="3"/>
  <c r="DN130" i="3"/>
  <c r="DM130" i="3"/>
  <c r="DL130" i="3"/>
  <c r="DK130" i="3"/>
  <c r="DJ130" i="3"/>
  <c r="DI130" i="3"/>
  <c r="DH130" i="3"/>
  <c r="DG130" i="3"/>
  <c r="DF130" i="3"/>
  <c r="DE130" i="3"/>
  <c r="DD130" i="3"/>
  <c r="DC130" i="3"/>
  <c r="DB130" i="3"/>
  <c r="DA130" i="3"/>
  <c r="CZ130" i="3"/>
  <c r="CY130" i="3"/>
  <c r="CX130" i="3"/>
  <c r="CW130" i="3"/>
  <c r="CV130" i="3"/>
  <c r="CU130" i="3"/>
  <c r="CT130" i="3"/>
  <c r="CS130" i="3"/>
  <c r="CR130" i="3"/>
  <c r="CQ130" i="3"/>
  <c r="CP130" i="3"/>
  <c r="CO130" i="3"/>
  <c r="CN130" i="3"/>
  <c r="CM130" i="3"/>
  <c r="CL130" i="3"/>
  <c r="CK130" i="3"/>
  <c r="CJ130" i="3"/>
  <c r="CI130" i="3"/>
  <c r="CH130" i="3"/>
  <c r="CG130" i="3"/>
  <c r="CF130" i="3"/>
  <c r="CE130" i="3"/>
  <c r="CD130" i="3"/>
  <c r="CC130" i="3"/>
  <c r="CB130" i="3"/>
  <c r="CA130" i="3"/>
  <c r="BZ130" i="3"/>
  <c r="BY130" i="3"/>
  <c r="BX130" i="3"/>
  <c r="BW130" i="3"/>
  <c r="BV130" i="3"/>
  <c r="BU130" i="3"/>
  <c r="BT130" i="3"/>
  <c r="BS130" i="3"/>
  <c r="BR130" i="3"/>
  <c r="BQ130" i="3"/>
  <c r="BP130" i="3"/>
  <c r="BO130" i="3"/>
  <c r="BN130" i="3"/>
  <c r="DU129" i="3"/>
  <c r="DT129" i="3"/>
  <c r="DS129" i="3"/>
  <c r="DR129" i="3"/>
  <c r="DQ129" i="3"/>
  <c r="DP129" i="3"/>
  <c r="DO129" i="3"/>
  <c r="DN129" i="3"/>
  <c r="DM129" i="3"/>
  <c r="DL129" i="3"/>
  <c r="DK129" i="3"/>
  <c r="DJ129" i="3"/>
  <c r="DI129" i="3"/>
  <c r="DH129" i="3"/>
  <c r="DG129" i="3"/>
  <c r="DF129" i="3"/>
  <c r="DE129" i="3"/>
  <c r="DD129" i="3"/>
  <c r="DC129" i="3"/>
  <c r="DB129" i="3"/>
  <c r="DA129" i="3"/>
  <c r="CZ129" i="3"/>
  <c r="CY129" i="3"/>
  <c r="CX129" i="3"/>
  <c r="CW129" i="3"/>
  <c r="CV129" i="3"/>
  <c r="CU129" i="3"/>
  <c r="CT129" i="3"/>
  <c r="CS129" i="3"/>
  <c r="CR129" i="3"/>
  <c r="CQ129" i="3"/>
  <c r="CP129" i="3"/>
  <c r="CO129" i="3"/>
  <c r="CN129" i="3"/>
  <c r="CM129" i="3"/>
  <c r="CL129" i="3"/>
  <c r="CK129" i="3"/>
  <c r="CJ129" i="3"/>
  <c r="CI129" i="3"/>
  <c r="CH129" i="3"/>
  <c r="CG129" i="3"/>
  <c r="CF129" i="3"/>
  <c r="CE129" i="3"/>
  <c r="CD129" i="3"/>
  <c r="CC129" i="3"/>
  <c r="CB129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E129" i="3"/>
  <c r="E266" i="3" s="1"/>
  <c r="D129" i="3"/>
  <c r="D266" i="3" s="1"/>
  <c r="C129" i="3"/>
  <c r="C266" i="3" s="1"/>
  <c r="B129" i="3"/>
  <c r="B266" i="3" s="1"/>
  <c r="A129" i="3"/>
  <c r="A266" i="3" s="1"/>
  <c r="DU128" i="3"/>
  <c r="DT128" i="3"/>
  <c r="DS128" i="3"/>
  <c r="DR128" i="3"/>
  <c r="DQ128" i="3"/>
  <c r="DP128" i="3"/>
  <c r="DO128" i="3"/>
  <c r="DN128" i="3"/>
  <c r="DM128" i="3"/>
  <c r="DL128" i="3"/>
  <c r="DK128" i="3"/>
  <c r="DJ128" i="3"/>
  <c r="DI128" i="3"/>
  <c r="DH128" i="3"/>
  <c r="DG128" i="3"/>
  <c r="DF128" i="3"/>
  <c r="DE128" i="3"/>
  <c r="DD128" i="3"/>
  <c r="DC128" i="3"/>
  <c r="DB128" i="3"/>
  <c r="DA128" i="3"/>
  <c r="CZ128" i="3"/>
  <c r="CY128" i="3"/>
  <c r="CX128" i="3"/>
  <c r="CW128" i="3"/>
  <c r="CV128" i="3"/>
  <c r="CU128" i="3"/>
  <c r="CT128" i="3"/>
  <c r="CS128" i="3"/>
  <c r="CR128" i="3"/>
  <c r="CQ128" i="3"/>
  <c r="CP128" i="3"/>
  <c r="CO128" i="3"/>
  <c r="CN128" i="3"/>
  <c r="CM128" i="3"/>
  <c r="CL128" i="3"/>
  <c r="CK128" i="3"/>
  <c r="CJ128" i="3"/>
  <c r="CI128" i="3"/>
  <c r="CH128" i="3"/>
  <c r="CG128" i="3"/>
  <c r="CF128" i="3"/>
  <c r="CE128" i="3"/>
  <c r="CD128" i="3"/>
  <c r="CC128" i="3"/>
  <c r="CB128" i="3"/>
  <c r="CA128" i="3"/>
  <c r="BZ128" i="3"/>
  <c r="BY128" i="3"/>
  <c r="BX128" i="3"/>
  <c r="BW128" i="3"/>
  <c r="BV128" i="3"/>
  <c r="BU128" i="3"/>
  <c r="BT128" i="3"/>
  <c r="BS128" i="3"/>
  <c r="BR128" i="3"/>
  <c r="BQ128" i="3"/>
  <c r="BP128" i="3"/>
  <c r="BO128" i="3"/>
  <c r="BN128" i="3"/>
  <c r="E128" i="3"/>
  <c r="E265" i="3" s="1"/>
  <c r="D128" i="3"/>
  <c r="D265" i="3" s="1"/>
  <c r="C128" i="3"/>
  <c r="C265" i="3" s="1"/>
  <c r="B128" i="3"/>
  <c r="B265" i="3" s="1"/>
  <c r="A128" i="3"/>
  <c r="A265" i="3" s="1"/>
  <c r="DU127" i="3"/>
  <c r="DT127" i="3"/>
  <c r="DS127" i="3"/>
  <c r="DR127" i="3"/>
  <c r="DQ127" i="3"/>
  <c r="DP127" i="3"/>
  <c r="DO127" i="3"/>
  <c r="DN127" i="3"/>
  <c r="DM127" i="3"/>
  <c r="DL127" i="3"/>
  <c r="DK127" i="3"/>
  <c r="DJ127" i="3"/>
  <c r="DI127" i="3"/>
  <c r="DH127" i="3"/>
  <c r="DG127" i="3"/>
  <c r="DF127" i="3"/>
  <c r="DE127" i="3"/>
  <c r="DD127" i="3"/>
  <c r="DC127" i="3"/>
  <c r="DB127" i="3"/>
  <c r="DA127" i="3"/>
  <c r="CZ127" i="3"/>
  <c r="CY127" i="3"/>
  <c r="CX127" i="3"/>
  <c r="CW127" i="3"/>
  <c r="CV127" i="3"/>
  <c r="CU127" i="3"/>
  <c r="CT127" i="3"/>
  <c r="CS127" i="3"/>
  <c r="CR127" i="3"/>
  <c r="CQ127" i="3"/>
  <c r="CP127" i="3"/>
  <c r="CO127" i="3"/>
  <c r="CN127" i="3"/>
  <c r="CM127" i="3"/>
  <c r="CL127" i="3"/>
  <c r="CK127" i="3"/>
  <c r="CJ127" i="3"/>
  <c r="CI127" i="3"/>
  <c r="CH127" i="3"/>
  <c r="CG127" i="3"/>
  <c r="CF127" i="3"/>
  <c r="CE127" i="3"/>
  <c r="CD127" i="3"/>
  <c r="CC127" i="3"/>
  <c r="CB127" i="3"/>
  <c r="CA127" i="3"/>
  <c r="BZ127" i="3"/>
  <c r="BY127" i="3"/>
  <c r="BX127" i="3"/>
  <c r="BW127" i="3"/>
  <c r="BV127" i="3"/>
  <c r="BU127" i="3"/>
  <c r="BT127" i="3"/>
  <c r="BS127" i="3"/>
  <c r="BR127" i="3"/>
  <c r="BQ127" i="3"/>
  <c r="BP127" i="3"/>
  <c r="BO127" i="3"/>
  <c r="BN127" i="3"/>
  <c r="E127" i="3"/>
  <c r="E264" i="3" s="1"/>
  <c r="D127" i="3"/>
  <c r="D264" i="3" s="1"/>
  <c r="C127" i="3"/>
  <c r="C264" i="3" s="1"/>
  <c r="B127" i="3"/>
  <c r="B264" i="3" s="1"/>
  <c r="A127" i="3"/>
  <c r="A264" i="3" s="1"/>
  <c r="DU126" i="3"/>
  <c r="DT126" i="3"/>
  <c r="DS126" i="3"/>
  <c r="DR126" i="3"/>
  <c r="DQ126" i="3"/>
  <c r="DP126" i="3"/>
  <c r="DO126" i="3"/>
  <c r="DN126" i="3"/>
  <c r="DM126" i="3"/>
  <c r="DL126" i="3"/>
  <c r="DK126" i="3"/>
  <c r="DJ126" i="3"/>
  <c r="DI126" i="3"/>
  <c r="DH126" i="3"/>
  <c r="DG126" i="3"/>
  <c r="DF126" i="3"/>
  <c r="DE126" i="3"/>
  <c r="DD126" i="3"/>
  <c r="DC126" i="3"/>
  <c r="DB126" i="3"/>
  <c r="DA126" i="3"/>
  <c r="CZ126" i="3"/>
  <c r="CY126" i="3"/>
  <c r="CX126" i="3"/>
  <c r="CW126" i="3"/>
  <c r="CV126" i="3"/>
  <c r="CU126" i="3"/>
  <c r="CT126" i="3"/>
  <c r="CS126" i="3"/>
  <c r="CR126" i="3"/>
  <c r="CQ126" i="3"/>
  <c r="CP126" i="3"/>
  <c r="CO126" i="3"/>
  <c r="CN126" i="3"/>
  <c r="CM126" i="3"/>
  <c r="CL126" i="3"/>
  <c r="CK126" i="3"/>
  <c r="CJ126" i="3"/>
  <c r="CI126" i="3"/>
  <c r="CH126" i="3"/>
  <c r="CG126" i="3"/>
  <c r="CF126" i="3"/>
  <c r="CE126" i="3"/>
  <c r="CD126" i="3"/>
  <c r="CC126" i="3"/>
  <c r="CB126" i="3"/>
  <c r="CA126" i="3"/>
  <c r="BZ126" i="3"/>
  <c r="BY126" i="3"/>
  <c r="BX126" i="3"/>
  <c r="BW126" i="3"/>
  <c r="BV126" i="3"/>
  <c r="BU126" i="3"/>
  <c r="BT126" i="3"/>
  <c r="BS126" i="3"/>
  <c r="BR126" i="3"/>
  <c r="BQ126" i="3"/>
  <c r="BP126" i="3"/>
  <c r="BO126" i="3"/>
  <c r="BN126" i="3"/>
  <c r="E126" i="3"/>
  <c r="E263" i="3" s="1"/>
  <c r="D126" i="3"/>
  <c r="C126" i="3"/>
  <c r="C263" i="3" s="1"/>
  <c r="B126" i="3"/>
  <c r="B263" i="3" s="1"/>
  <c r="A126" i="3"/>
  <c r="DU125" i="3"/>
  <c r="DT125" i="3"/>
  <c r="DS125" i="3"/>
  <c r="DR125" i="3"/>
  <c r="DQ125" i="3"/>
  <c r="DP125" i="3"/>
  <c r="DO125" i="3"/>
  <c r="DN125" i="3"/>
  <c r="DM125" i="3"/>
  <c r="DL125" i="3"/>
  <c r="DK125" i="3"/>
  <c r="DJ125" i="3"/>
  <c r="DI125" i="3"/>
  <c r="DH125" i="3"/>
  <c r="DG125" i="3"/>
  <c r="DF125" i="3"/>
  <c r="DE125" i="3"/>
  <c r="DD125" i="3"/>
  <c r="DC125" i="3"/>
  <c r="DB125" i="3"/>
  <c r="DA125" i="3"/>
  <c r="CZ125" i="3"/>
  <c r="CY125" i="3"/>
  <c r="CX125" i="3"/>
  <c r="CW125" i="3"/>
  <c r="CV125" i="3"/>
  <c r="CU125" i="3"/>
  <c r="CT125" i="3"/>
  <c r="CS125" i="3"/>
  <c r="CR125" i="3"/>
  <c r="CQ125" i="3"/>
  <c r="CP125" i="3"/>
  <c r="CO125" i="3"/>
  <c r="CN125" i="3"/>
  <c r="CM125" i="3"/>
  <c r="CL125" i="3"/>
  <c r="CK125" i="3"/>
  <c r="CJ125" i="3"/>
  <c r="CI125" i="3"/>
  <c r="CH125" i="3"/>
  <c r="CG125" i="3"/>
  <c r="CF125" i="3"/>
  <c r="CE125" i="3"/>
  <c r="CD125" i="3"/>
  <c r="CC125" i="3"/>
  <c r="CB125" i="3"/>
  <c r="CA125" i="3"/>
  <c r="BZ125" i="3"/>
  <c r="BY125" i="3"/>
  <c r="BX125" i="3"/>
  <c r="BW125" i="3"/>
  <c r="BV125" i="3"/>
  <c r="BU125" i="3"/>
  <c r="BT125" i="3"/>
  <c r="BS125" i="3"/>
  <c r="BR125" i="3"/>
  <c r="BQ125" i="3"/>
  <c r="BP125" i="3"/>
  <c r="BO125" i="3"/>
  <c r="BN125" i="3"/>
  <c r="E125" i="3"/>
  <c r="E262" i="3" s="1"/>
  <c r="D125" i="3"/>
  <c r="D262" i="3" s="1"/>
  <c r="C125" i="3"/>
  <c r="C262" i="3" s="1"/>
  <c r="B125" i="3"/>
  <c r="B262" i="3" s="1"/>
  <c r="A125" i="3"/>
  <c r="A262" i="3" s="1"/>
  <c r="DU124" i="3"/>
  <c r="DT124" i="3"/>
  <c r="DS124" i="3"/>
  <c r="DR124" i="3"/>
  <c r="DQ124" i="3"/>
  <c r="DP124" i="3"/>
  <c r="DO124" i="3"/>
  <c r="DN124" i="3"/>
  <c r="DM124" i="3"/>
  <c r="DL124" i="3"/>
  <c r="DK124" i="3"/>
  <c r="DJ124" i="3"/>
  <c r="DI124" i="3"/>
  <c r="DH124" i="3"/>
  <c r="DG124" i="3"/>
  <c r="DF124" i="3"/>
  <c r="DE124" i="3"/>
  <c r="DD124" i="3"/>
  <c r="DC124" i="3"/>
  <c r="DB124" i="3"/>
  <c r="DA124" i="3"/>
  <c r="CZ124" i="3"/>
  <c r="CY124" i="3"/>
  <c r="CX124" i="3"/>
  <c r="CW124" i="3"/>
  <c r="CV124" i="3"/>
  <c r="CU124" i="3"/>
  <c r="CT124" i="3"/>
  <c r="CS124" i="3"/>
  <c r="CR124" i="3"/>
  <c r="CQ124" i="3"/>
  <c r="CP124" i="3"/>
  <c r="CO124" i="3"/>
  <c r="CN124" i="3"/>
  <c r="CM124" i="3"/>
  <c r="CL124" i="3"/>
  <c r="CK124" i="3"/>
  <c r="CJ124" i="3"/>
  <c r="CI124" i="3"/>
  <c r="CH124" i="3"/>
  <c r="CG124" i="3"/>
  <c r="CF124" i="3"/>
  <c r="CE124" i="3"/>
  <c r="CD124" i="3"/>
  <c r="CC124" i="3"/>
  <c r="CB124" i="3"/>
  <c r="CA124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E124" i="3"/>
  <c r="E261" i="3" s="1"/>
  <c r="D124" i="3"/>
  <c r="D261" i="3" s="1"/>
  <c r="C124" i="3"/>
  <c r="C261" i="3" s="1"/>
  <c r="B124" i="3"/>
  <c r="B261" i="3" s="1"/>
  <c r="A124" i="3"/>
  <c r="A261" i="3" s="1"/>
  <c r="DU123" i="3"/>
  <c r="DT123" i="3"/>
  <c r="DS123" i="3"/>
  <c r="DR123" i="3"/>
  <c r="DQ123" i="3"/>
  <c r="DP123" i="3"/>
  <c r="DO123" i="3"/>
  <c r="DN123" i="3"/>
  <c r="DM123" i="3"/>
  <c r="DL123" i="3"/>
  <c r="DK123" i="3"/>
  <c r="DJ123" i="3"/>
  <c r="DI123" i="3"/>
  <c r="DH123" i="3"/>
  <c r="DG123" i="3"/>
  <c r="DF123" i="3"/>
  <c r="DE123" i="3"/>
  <c r="DD123" i="3"/>
  <c r="DC123" i="3"/>
  <c r="DB123" i="3"/>
  <c r="DA123" i="3"/>
  <c r="CZ123" i="3"/>
  <c r="CY123" i="3"/>
  <c r="CX123" i="3"/>
  <c r="CW123" i="3"/>
  <c r="CV123" i="3"/>
  <c r="CU123" i="3"/>
  <c r="CT123" i="3"/>
  <c r="CS123" i="3"/>
  <c r="CR123" i="3"/>
  <c r="CQ123" i="3"/>
  <c r="CP123" i="3"/>
  <c r="CO123" i="3"/>
  <c r="CN123" i="3"/>
  <c r="CM123" i="3"/>
  <c r="CL123" i="3"/>
  <c r="CK123" i="3"/>
  <c r="CJ123" i="3"/>
  <c r="CI123" i="3"/>
  <c r="CH123" i="3"/>
  <c r="CG123" i="3"/>
  <c r="CF123" i="3"/>
  <c r="CE123" i="3"/>
  <c r="CD123" i="3"/>
  <c r="CC123" i="3"/>
  <c r="CB123" i="3"/>
  <c r="CA123" i="3"/>
  <c r="BZ123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E123" i="3"/>
  <c r="E260" i="3" s="1"/>
  <c r="D123" i="3"/>
  <c r="D260" i="3" s="1"/>
  <c r="C123" i="3"/>
  <c r="C260" i="3" s="1"/>
  <c r="B123" i="3"/>
  <c r="B260" i="3" s="1"/>
  <c r="A123" i="3"/>
  <c r="A260" i="3" s="1"/>
  <c r="DU122" i="3"/>
  <c r="DT122" i="3"/>
  <c r="DS122" i="3"/>
  <c r="DR122" i="3"/>
  <c r="DQ122" i="3"/>
  <c r="DP122" i="3"/>
  <c r="DO122" i="3"/>
  <c r="DN122" i="3"/>
  <c r="DM122" i="3"/>
  <c r="DL122" i="3"/>
  <c r="DK122" i="3"/>
  <c r="DJ122" i="3"/>
  <c r="DI122" i="3"/>
  <c r="DH122" i="3"/>
  <c r="DG122" i="3"/>
  <c r="DF122" i="3"/>
  <c r="DE122" i="3"/>
  <c r="DD122" i="3"/>
  <c r="DC122" i="3"/>
  <c r="DB122" i="3"/>
  <c r="DA122" i="3"/>
  <c r="CZ122" i="3"/>
  <c r="CY122" i="3"/>
  <c r="CX122" i="3"/>
  <c r="CW122" i="3"/>
  <c r="CV122" i="3"/>
  <c r="CU122" i="3"/>
  <c r="CT122" i="3"/>
  <c r="CS122" i="3"/>
  <c r="CR122" i="3"/>
  <c r="CQ122" i="3"/>
  <c r="CP122" i="3"/>
  <c r="CO122" i="3"/>
  <c r="CN122" i="3"/>
  <c r="CM122" i="3"/>
  <c r="CL122" i="3"/>
  <c r="CK122" i="3"/>
  <c r="CJ122" i="3"/>
  <c r="CI122" i="3"/>
  <c r="CH122" i="3"/>
  <c r="CG122" i="3"/>
  <c r="CF122" i="3"/>
  <c r="CE122" i="3"/>
  <c r="CD122" i="3"/>
  <c r="CC122" i="3"/>
  <c r="CB122" i="3"/>
  <c r="CA122" i="3"/>
  <c r="BZ122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E122" i="3"/>
  <c r="E259" i="3" s="1"/>
  <c r="D122" i="3"/>
  <c r="D259" i="3" s="1"/>
  <c r="C122" i="3"/>
  <c r="C259" i="3" s="1"/>
  <c r="B122" i="3"/>
  <c r="B259" i="3" s="1"/>
  <c r="A122" i="3"/>
  <c r="A259" i="3" s="1"/>
  <c r="DU121" i="3"/>
  <c r="DT121" i="3"/>
  <c r="DS121" i="3"/>
  <c r="DR121" i="3"/>
  <c r="DQ121" i="3"/>
  <c r="DP121" i="3"/>
  <c r="DO121" i="3"/>
  <c r="DN121" i="3"/>
  <c r="DM121" i="3"/>
  <c r="DL121" i="3"/>
  <c r="DK121" i="3"/>
  <c r="DJ121" i="3"/>
  <c r="DI121" i="3"/>
  <c r="DH121" i="3"/>
  <c r="DG121" i="3"/>
  <c r="DF121" i="3"/>
  <c r="DE121" i="3"/>
  <c r="DD121" i="3"/>
  <c r="DC121" i="3"/>
  <c r="DB121" i="3"/>
  <c r="DA121" i="3"/>
  <c r="CZ121" i="3"/>
  <c r="CY121" i="3"/>
  <c r="CX121" i="3"/>
  <c r="CW121" i="3"/>
  <c r="CV121" i="3"/>
  <c r="CU121" i="3"/>
  <c r="CT121" i="3"/>
  <c r="CS121" i="3"/>
  <c r="CR121" i="3"/>
  <c r="CQ121" i="3"/>
  <c r="CP121" i="3"/>
  <c r="CO121" i="3"/>
  <c r="CN121" i="3"/>
  <c r="CM121" i="3"/>
  <c r="CL121" i="3"/>
  <c r="CK121" i="3"/>
  <c r="CJ121" i="3"/>
  <c r="CI121" i="3"/>
  <c r="CH121" i="3"/>
  <c r="CG121" i="3"/>
  <c r="CF121" i="3"/>
  <c r="CE121" i="3"/>
  <c r="CD121" i="3"/>
  <c r="CC121" i="3"/>
  <c r="CB121" i="3"/>
  <c r="CA121" i="3"/>
  <c r="BZ121" i="3"/>
  <c r="BY121" i="3"/>
  <c r="BX121" i="3"/>
  <c r="BW121" i="3"/>
  <c r="BV121" i="3"/>
  <c r="BU121" i="3"/>
  <c r="BT121" i="3"/>
  <c r="BS121" i="3"/>
  <c r="BR121" i="3"/>
  <c r="BQ121" i="3"/>
  <c r="BP121" i="3"/>
  <c r="BO121" i="3"/>
  <c r="BN121" i="3"/>
  <c r="E121" i="3"/>
  <c r="E258" i="3" s="1"/>
  <c r="D121" i="3"/>
  <c r="D258" i="3" s="1"/>
  <c r="C121" i="3"/>
  <c r="C258" i="3" s="1"/>
  <c r="B121" i="3"/>
  <c r="B258" i="3" s="1"/>
  <c r="A121" i="3"/>
  <c r="A258" i="3" s="1"/>
  <c r="DU120" i="3"/>
  <c r="DT120" i="3"/>
  <c r="DS120" i="3"/>
  <c r="DR120" i="3"/>
  <c r="DQ120" i="3"/>
  <c r="DP120" i="3"/>
  <c r="DO120" i="3"/>
  <c r="DN120" i="3"/>
  <c r="DM120" i="3"/>
  <c r="DL120" i="3"/>
  <c r="DK120" i="3"/>
  <c r="DJ120" i="3"/>
  <c r="DI120" i="3"/>
  <c r="DH120" i="3"/>
  <c r="DG120" i="3"/>
  <c r="DF120" i="3"/>
  <c r="DE120" i="3"/>
  <c r="DD120" i="3"/>
  <c r="DC120" i="3"/>
  <c r="DB120" i="3"/>
  <c r="DA120" i="3"/>
  <c r="CZ120" i="3"/>
  <c r="CY120" i="3"/>
  <c r="CX120" i="3"/>
  <c r="CW120" i="3"/>
  <c r="CV120" i="3"/>
  <c r="CU120" i="3"/>
  <c r="CT120" i="3"/>
  <c r="CS120" i="3"/>
  <c r="CR120" i="3"/>
  <c r="CQ120" i="3"/>
  <c r="CP120" i="3"/>
  <c r="CO120" i="3"/>
  <c r="CN120" i="3"/>
  <c r="CM120" i="3"/>
  <c r="CL120" i="3"/>
  <c r="CK120" i="3"/>
  <c r="CJ120" i="3"/>
  <c r="CI120" i="3"/>
  <c r="CH120" i="3"/>
  <c r="CG120" i="3"/>
  <c r="CF120" i="3"/>
  <c r="CE120" i="3"/>
  <c r="CD120" i="3"/>
  <c r="CC120" i="3"/>
  <c r="CB120" i="3"/>
  <c r="CA120" i="3"/>
  <c r="BZ120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E120" i="3"/>
  <c r="E257" i="3" s="1"/>
  <c r="D120" i="3"/>
  <c r="D257" i="3" s="1"/>
  <c r="C120" i="3"/>
  <c r="C257" i="3" s="1"/>
  <c r="B120" i="3"/>
  <c r="B257" i="3" s="1"/>
  <c r="A120" i="3"/>
  <c r="A257" i="3" s="1"/>
  <c r="DU119" i="3"/>
  <c r="DT119" i="3"/>
  <c r="DS119" i="3"/>
  <c r="DR119" i="3"/>
  <c r="DQ119" i="3"/>
  <c r="DP119" i="3"/>
  <c r="DO119" i="3"/>
  <c r="DN119" i="3"/>
  <c r="DM119" i="3"/>
  <c r="DL119" i="3"/>
  <c r="DK119" i="3"/>
  <c r="DJ119" i="3"/>
  <c r="DI119" i="3"/>
  <c r="DH119" i="3"/>
  <c r="DG119" i="3"/>
  <c r="DF119" i="3"/>
  <c r="DE119" i="3"/>
  <c r="DD119" i="3"/>
  <c r="DC119" i="3"/>
  <c r="DB119" i="3"/>
  <c r="DA119" i="3"/>
  <c r="CZ119" i="3"/>
  <c r="CY119" i="3"/>
  <c r="CX119" i="3"/>
  <c r="CW119" i="3"/>
  <c r="CV119" i="3"/>
  <c r="CU119" i="3"/>
  <c r="CT119" i="3"/>
  <c r="CS119" i="3"/>
  <c r="CR119" i="3"/>
  <c r="CQ119" i="3"/>
  <c r="CP119" i="3"/>
  <c r="CO119" i="3"/>
  <c r="CN119" i="3"/>
  <c r="CM119" i="3"/>
  <c r="CL119" i="3"/>
  <c r="CK119" i="3"/>
  <c r="CJ119" i="3"/>
  <c r="CI119" i="3"/>
  <c r="CH119" i="3"/>
  <c r="CG119" i="3"/>
  <c r="CF119" i="3"/>
  <c r="CE119" i="3"/>
  <c r="CD119" i="3"/>
  <c r="CC119" i="3"/>
  <c r="CB119" i="3"/>
  <c r="CA119" i="3"/>
  <c r="BZ119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E119" i="3"/>
  <c r="E256" i="3" s="1"/>
  <c r="D119" i="3"/>
  <c r="D256" i="3" s="1"/>
  <c r="C119" i="3"/>
  <c r="C256" i="3" s="1"/>
  <c r="B119" i="3"/>
  <c r="B256" i="3" s="1"/>
  <c r="A119" i="3"/>
  <c r="A256" i="3" s="1"/>
  <c r="DU118" i="3"/>
  <c r="DT118" i="3"/>
  <c r="DS118" i="3"/>
  <c r="DR118" i="3"/>
  <c r="DQ118" i="3"/>
  <c r="DP118" i="3"/>
  <c r="DO118" i="3"/>
  <c r="DN118" i="3"/>
  <c r="DM118" i="3"/>
  <c r="DL118" i="3"/>
  <c r="DK118" i="3"/>
  <c r="DJ118" i="3"/>
  <c r="DI118" i="3"/>
  <c r="DH118" i="3"/>
  <c r="DG118" i="3"/>
  <c r="DF118" i="3"/>
  <c r="DE118" i="3"/>
  <c r="DD118" i="3"/>
  <c r="DC118" i="3"/>
  <c r="DB118" i="3"/>
  <c r="DA118" i="3"/>
  <c r="CZ118" i="3"/>
  <c r="CY118" i="3"/>
  <c r="CX118" i="3"/>
  <c r="CW118" i="3"/>
  <c r="CV118" i="3"/>
  <c r="CU118" i="3"/>
  <c r="CT118" i="3"/>
  <c r="CS118" i="3"/>
  <c r="CR118" i="3"/>
  <c r="CQ118" i="3"/>
  <c r="CP118" i="3"/>
  <c r="CO118" i="3"/>
  <c r="CN118" i="3"/>
  <c r="CM118" i="3"/>
  <c r="CL118" i="3"/>
  <c r="CK118" i="3"/>
  <c r="CJ118" i="3"/>
  <c r="CI118" i="3"/>
  <c r="CH118" i="3"/>
  <c r="CG118" i="3"/>
  <c r="CF118" i="3"/>
  <c r="CE118" i="3"/>
  <c r="CD118" i="3"/>
  <c r="CC118" i="3"/>
  <c r="CB118" i="3"/>
  <c r="CA118" i="3"/>
  <c r="BZ118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E118" i="3"/>
  <c r="E255" i="3" s="1"/>
  <c r="D118" i="3"/>
  <c r="D255" i="3" s="1"/>
  <c r="C118" i="3"/>
  <c r="C255" i="3" s="1"/>
  <c r="B118" i="3"/>
  <c r="B255" i="3" s="1"/>
  <c r="A118" i="3"/>
  <c r="A255" i="3" s="1"/>
  <c r="DU117" i="3"/>
  <c r="DT117" i="3"/>
  <c r="DS117" i="3"/>
  <c r="DR117" i="3"/>
  <c r="DQ117" i="3"/>
  <c r="DP117" i="3"/>
  <c r="DO117" i="3"/>
  <c r="DN117" i="3"/>
  <c r="DM117" i="3"/>
  <c r="DL117" i="3"/>
  <c r="DK117" i="3"/>
  <c r="DJ117" i="3"/>
  <c r="DI117" i="3"/>
  <c r="DH117" i="3"/>
  <c r="DG117" i="3"/>
  <c r="DF117" i="3"/>
  <c r="DE117" i="3"/>
  <c r="DD117" i="3"/>
  <c r="DC117" i="3"/>
  <c r="DB117" i="3"/>
  <c r="DA117" i="3"/>
  <c r="CZ117" i="3"/>
  <c r="CY117" i="3"/>
  <c r="CX117" i="3"/>
  <c r="CW117" i="3"/>
  <c r="CV117" i="3"/>
  <c r="CU117" i="3"/>
  <c r="CT117" i="3"/>
  <c r="CS117" i="3"/>
  <c r="CR117" i="3"/>
  <c r="CQ117" i="3"/>
  <c r="CP117" i="3"/>
  <c r="CO117" i="3"/>
  <c r="CN117" i="3"/>
  <c r="CM117" i="3"/>
  <c r="CL117" i="3"/>
  <c r="CK117" i="3"/>
  <c r="CJ117" i="3"/>
  <c r="CI117" i="3"/>
  <c r="CH117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E117" i="3"/>
  <c r="E254" i="3" s="1"/>
  <c r="D117" i="3"/>
  <c r="D254" i="3" s="1"/>
  <c r="C117" i="3"/>
  <c r="C254" i="3" s="1"/>
  <c r="B117" i="3"/>
  <c r="B254" i="3" s="1"/>
  <c r="A117" i="3"/>
  <c r="A254" i="3" s="1"/>
  <c r="DU116" i="3"/>
  <c r="DT116" i="3"/>
  <c r="DS116" i="3"/>
  <c r="DR116" i="3"/>
  <c r="DQ116" i="3"/>
  <c r="DP116" i="3"/>
  <c r="DO116" i="3"/>
  <c r="DN116" i="3"/>
  <c r="DM116" i="3"/>
  <c r="DL116" i="3"/>
  <c r="DK116" i="3"/>
  <c r="DJ116" i="3"/>
  <c r="DI116" i="3"/>
  <c r="DH116" i="3"/>
  <c r="DG116" i="3"/>
  <c r="DF116" i="3"/>
  <c r="DE116" i="3"/>
  <c r="DD116" i="3"/>
  <c r="DC116" i="3"/>
  <c r="DB116" i="3"/>
  <c r="DA116" i="3"/>
  <c r="CZ116" i="3"/>
  <c r="CY116" i="3"/>
  <c r="CX116" i="3"/>
  <c r="CW116" i="3"/>
  <c r="CV116" i="3"/>
  <c r="CU116" i="3"/>
  <c r="CT116" i="3"/>
  <c r="CS116" i="3"/>
  <c r="CR116" i="3"/>
  <c r="CQ116" i="3"/>
  <c r="CP116" i="3"/>
  <c r="CO116" i="3"/>
  <c r="CN116" i="3"/>
  <c r="CM116" i="3"/>
  <c r="CL116" i="3"/>
  <c r="CK116" i="3"/>
  <c r="CJ116" i="3"/>
  <c r="CI116" i="3"/>
  <c r="CH116" i="3"/>
  <c r="CG116" i="3"/>
  <c r="CF116" i="3"/>
  <c r="CE116" i="3"/>
  <c r="CD116" i="3"/>
  <c r="CC116" i="3"/>
  <c r="CB116" i="3"/>
  <c r="CA116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E116" i="3"/>
  <c r="E253" i="3" s="1"/>
  <c r="D116" i="3"/>
  <c r="D253" i="3" s="1"/>
  <c r="C116" i="3"/>
  <c r="C253" i="3" s="1"/>
  <c r="B116" i="3"/>
  <c r="B253" i="3" s="1"/>
  <c r="A116" i="3"/>
  <c r="A253" i="3" s="1"/>
  <c r="DU115" i="3"/>
  <c r="DT115" i="3"/>
  <c r="DS115" i="3"/>
  <c r="DR115" i="3"/>
  <c r="DQ115" i="3"/>
  <c r="DP115" i="3"/>
  <c r="DO115" i="3"/>
  <c r="DN115" i="3"/>
  <c r="DM115" i="3"/>
  <c r="DL115" i="3"/>
  <c r="DK115" i="3"/>
  <c r="DJ115" i="3"/>
  <c r="DI115" i="3"/>
  <c r="DH115" i="3"/>
  <c r="DG115" i="3"/>
  <c r="DF115" i="3"/>
  <c r="DE115" i="3"/>
  <c r="DD115" i="3"/>
  <c r="DC115" i="3"/>
  <c r="DB115" i="3"/>
  <c r="DA115" i="3"/>
  <c r="CZ115" i="3"/>
  <c r="CY115" i="3"/>
  <c r="CX115" i="3"/>
  <c r="CW115" i="3"/>
  <c r="CV115" i="3"/>
  <c r="CU115" i="3"/>
  <c r="CT115" i="3"/>
  <c r="CS115" i="3"/>
  <c r="CR115" i="3"/>
  <c r="CQ115" i="3"/>
  <c r="CP115" i="3"/>
  <c r="CO115" i="3"/>
  <c r="CN115" i="3"/>
  <c r="CM115" i="3"/>
  <c r="CL115" i="3"/>
  <c r="CK115" i="3"/>
  <c r="CJ115" i="3"/>
  <c r="CI115" i="3"/>
  <c r="CH115" i="3"/>
  <c r="CG115" i="3"/>
  <c r="CF115" i="3"/>
  <c r="CE115" i="3"/>
  <c r="CD115" i="3"/>
  <c r="CC115" i="3"/>
  <c r="CB115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E115" i="3"/>
  <c r="E252" i="3" s="1"/>
  <c r="D115" i="3"/>
  <c r="D252" i="3" s="1"/>
  <c r="C115" i="3"/>
  <c r="C252" i="3" s="1"/>
  <c r="B115" i="3"/>
  <c r="B252" i="3" s="1"/>
  <c r="A115" i="3"/>
  <c r="A252" i="3" s="1"/>
  <c r="DU114" i="3"/>
  <c r="DT114" i="3"/>
  <c r="DS114" i="3"/>
  <c r="DR114" i="3"/>
  <c r="DQ114" i="3"/>
  <c r="DP114" i="3"/>
  <c r="DO114" i="3"/>
  <c r="DN114" i="3"/>
  <c r="DM114" i="3"/>
  <c r="DL114" i="3"/>
  <c r="DK114" i="3"/>
  <c r="DJ114" i="3"/>
  <c r="DI114" i="3"/>
  <c r="DH114" i="3"/>
  <c r="DG114" i="3"/>
  <c r="DF114" i="3"/>
  <c r="DE114" i="3"/>
  <c r="DD114" i="3"/>
  <c r="DC114" i="3"/>
  <c r="DB114" i="3"/>
  <c r="DA114" i="3"/>
  <c r="CZ114" i="3"/>
  <c r="CY114" i="3"/>
  <c r="CX114" i="3"/>
  <c r="CW114" i="3"/>
  <c r="CV114" i="3"/>
  <c r="CU114" i="3"/>
  <c r="CT114" i="3"/>
  <c r="CS114" i="3"/>
  <c r="CR114" i="3"/>
  <c r="CQ114" i="3"/>
  <c r="CP114" i="3"/>
  <c r="CO114" i="3"/>
  <c r="CN114" i="3"/>
  <c r="CM114" i="3"/>
  <c r="CL114" i="3"/>
  <c r="CK114" i="3"/>
  <c r="CJ114" i="3"/>
  <c r="CI114" i="3"/>
  <c r="CH114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E114" i="3"/>
  <c r="E251" i="3" s="1"/>
  <c r="D114" i="3"/>
  <c r="D251" i="3" s="1"/>
  <c r="C114" i="3"/>
  <c r="C251" i="3" s="1"/>
  <c r="B114" i="3"/>
  <c r="B251" i="3" s="1"/>
  <c r="A114" i="3"/>
  <c r="A251" i="3" s="1"/>
  <c r="DU113" i="3"/>
  <c r="DT113" i="3"/>
  <c r="DS113" i="3"/>
  <c r="DR113" i="3"/>
  <c r="DQ113" i="3"/>
  <c r="DP113" i="3"/>
  <c r="DO113" i="3"/>
  <c r="DN113" i="3"/>
  <c r="DM113" i="3"/>
  <c r="DL113" i="3"/>
  <c r="DK113" i="3"/>
  <c r="DJ113" i="3"/>
  <c r="DI113" i="3"/>
  <c r="DH113" i="3"/>
  <c r="DG113" i="3"/>
  <c r="DF113" i="3"/>
  <c r="DE113" i="3"/>
  <c r="DD113" i="3"/>
  <c r="DC113" i="3"/>
  <c r="DB113" i="3"/>
  <c r="DA113" i="3"/>
  <c r="CZ113" i="3"/>
  <c r="CY113" i="3"/>
  <c r="CX113" i="3"/>
  <c r="CW113" i="3"/>
  <c r="CV113" i="3"/>
  <c r="CU113" i="3"/>
  <c r="CT113" i="3"/>
  <c r="CS113" i="3"/>
  <c r="CR113" i="3"/>
  <c r="CQ113" i="3"/>
  <c r="CP113" i="3"/>
  <c r="CO113" i="3"/>
  <c r="CN113" i="3"/>
  <c r="CM113" i="3"/>
  <c r="CL113" i="3"/>
  <c r="CK113" i="3"/>
  <c r="CJ113" i="3"/>
  <c r="CI113" i="3"/>
  <c r="CH113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E113" i="3"/>
  <c r="E250" i="3" s="1"/>
  <c r="D113" i="3"/>
  <c r="D250" i="3" s="1"/>
  <c r="C113" i="3"/>
  <c r="C250" i="3" s="1"/>
  <c r="B113" i="3"/>
  <c r="B250" i="3" s="1"/>
  <c r="A113" i="3"/>
  <c r="A250" i="3" s="1"/>
  <c r="DU112" i="3"/>
  <c r="DT112" i="3"/>
  <c r="DS112" i="3"/>
  <c r="DR112" i="3"/>
  <c r="DQ112" i="3"/>
  <c r="DP112" i="3"/>
  <c r="DO112" i="3"/>
  <c r="DN112" i="3"/>
  <c r="DM112" i="3"/>
  <c r="DL112" i="3"/>
  <c r="DK112" i="3"/>
  <c r="DJ112" i="3"/>
  <c r="DI112" i="3"/>
  <c r="DH112" i="3"/>
  <c r="DG112" i="3"/>
  <c r="DF112" i="3"/>
  <c r="DE112" i="3"/>
  <c r="DD112" i="3"/>
  <c r="DC112" i="3"/>
  <c r="DB112" i="3"/>
  <c r="DA112" i="3"/>
  <c r="CZ112" i="3"/>
  <c r="CY112" i="3"/>
  <c r="CX112" i="3"/>
  <c r="CW112" i="3"/>
  <c r="CV112" i="3"/>
  <c r="CU112" i="3"/>
  <c r="CT112" i="3"/>
  <c r="CS112" i="3"/>
  <c r="CR112" i="3"/>
  <c r="CQ112" i="3"/>
  <c r="CP112" i="3"/>
  <c r="CO112" i="3"/>
  <c r="CN112" i="3"/>
  <c r="CM112" i="3"/>
  <c r="CL112" i="3"/>
  <c r="CK112" i="3"/>
  <c r="CJ112" i="3"/>
  <c r="CI112" i="3"/>
  <c r="CH112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E112" i="3"/>
  <c r="E249" i="3" s="1"/>
  <c r="D112" i="3"/>
  <c r="D249" i="3" s="1"/>
  <c r="C112" i="3"/>
  <c r="C249" i="3" s="1"/>
  <c r="B112" i="3"/>
  <c r="B249" i="3" s="1"/>
  <c r="A112" i="3"/>
  <c r="A249" i="3" s="1"/>
  <c r="DU111" i="3"/>
  <c r="DT111" i="3"/>
  <c r="DS111" i="3"/>
  <c r="DR111" i="3"/>
  <c r="DQ111" i="3"/>
  <c r="DP111" i="3"/>
  <c r="DO111" i="3"/>
  <c r="DN111" i="3"/>
  <c r="DM111" i="3"/>
  <c r="DL111" i="3"/>
  <c r="DK111" i="3"/>
  <c r="DJ111" i="3"/>
  <c r="DI111" i="3"/>
  <c r="DH111" i="3"/>
  <c r="DG111" i="3"/>
  <c r="DF111" i="3"/>
  <c r="DE111" i="3"/>
  <c r="DD111" i="3"/>
  <c r="DC111" i="3"/>
  <c r="DB111" i="3"/>
  <c r="DA111" i="3"/>
  <c r="CZ111" i="3"/>
  <c r="CY111" i="3"/>
  <c r="CX111" i="3"/>
  <c r="CW111" i="3"/>
  <c r="CV111" i="3"/>
  <c r="CU111" i="3"/>
  <c r="CT111" i="3"/>
  <c r="CS111" i="3"/>
  <c r="CR111" i="3"/>
  <c r="CQ111" i="3"/>
  <c r="CP111" i="3"/>
  <c r="CO111" i="3"/>
  <c r="CN111" i="3"/>
  <c r="CM111" i="3"/>
  <c r="CL111" i="3"/>
  <c r="CK111" i="3"/>
  <c r="CJ111" i="3"/>
  <c r="CI111" i="3"/>
  <c r="CH111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E111" i="3"/>
  <c r="E248" i="3" s="1"/>
  <c r="D111" i="3"/>
  <c r="D248" i="3" s="1"/>
  <c r="C111" i="3"/>
  <c r="C248" i="3" s="1"/>
  <c r="B111" i="3"/>
  <c r="B248" i="3" s="1"/>
  <c r="A111" i="3"/>
  <c r="A248" i="3" s="1"/>
  <c r="DU110" i="3"/>
  <c r="DT110" i="3"/>
  <c r="DS110" i="3"/>
  <c r="DR110" i="3"/>
  <c r="DQ110" i="3"/>
  <c r="DP110" i="3"/>
  <c r="DO110" i="3"/>
  <c r="DN110" i="3"/>
  <c r="DM110" i="3"/>
  <c r="DL110" i="3"/>
  <c r="DK110" i="3"/>
  <c r="DJ110" i="3"/>
  <c r="DI110" i="3"/>
  <c r="DH110" i="3"/>
  <c r="DG110" i="3"/>
  <c r="DF110" i="3"/>
  <c r="DE110" i="3"/>
  <c r="DD110" i="3"/>
  <c r="DC110" i="3"/>
  <c r="DB110" i="3"/>
  <c r="DA110" i="3"/>
  <c r="CZ110" i="3"/>
  <c r="CY110" i="3"/>
  <c r="CX110" i="3"/>
  <c r="CW110" i="3"/>
  <c r="CV110" i="3"/>
  <c r="CU110" i="3"/>
  <c r="CT110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E110" i="3"/>
  <c r="E247" i="3" s="1"/>
  <c r="D110" i="3"/>
  <c r="D247" i="3" s="1"/>
  <c r="C110" i="3"/>
  <c r="C247" i="3" s="1"/>
  <c r="B110" i="3"/>
  <c r="B247" i="3" s="1"/>
  <c r="A110" i="3"/>
  <c r="A247" i="3" s="1"/>
  <c r="DU109" i="3"/>
  <c r="DT109" i="3"/>
  <c r="DS109" i="3"/>
  <c r="DR109" i="3"/>
  <c r="DQ109" i="3"/>
  <c r="DP109" i="3"/>
  <c r="DO109" i="3"/>
  <c r="DN109" i="3"/>
  <c r="DM109" i="3"/>
  <c r="DL109" i="3"/>
  <c r="DK109" i="3"/>
  <c r="DJ109" i="3"/>
  <c r="DI109" i="3"/>
  <c r="DH109" i="3"/>
  <c r="DG109" i="3"/>
  <c r="DF109" i="3"/>
  <c r="DE109" i="3"/>
  <c r="DD109" i="3"/>
  <c r="DC109" i="3"/>
  <c r="DB109" i="3"/>
  <c r="DA109" i="3"/>
  <c r="CZ109" i="3"/>
  <c r="CY109" i="3"/>
  <c r="CX109" i="3"/>
  <c r="CW109" i="3"/>
  <c r="CV109" i="3"/>
  <c r="CU109" i="3"/>
  <c r="CT109" i="3"/>
  <c r="CS109" i="3"/>
  <c r="CR109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E109" i="3"/>
  <c r="B109" i="3"/>
  <c r="A109" i="3"/>
  <c r="DU108" i="3"/>
  <c r="DT108" i="3"/>
  <c r="DS108" i="3"/>
  <c r="DR108" i="3"/>
  <c r="DQ108" i="3"/>
  <c r="DP108" i="3"/>
  <c r="DO108" i="3"/>
  <c r="DN108" i="3"/>
  <c r="DM108" i="3"/>
  <c r="DL108" i="3"/>
  <c r="DK108" i="3"/>
  <c r="DJ108" i="3"/>
  <c r="DI108" i="3"/>
  <c r="DH108" i="3"/>
  <c r="DG108" i="3"/>
  <c r="DF108" i="3"/>
  <c r="DE108" i="3"/>
  <c r="DD108" i="3"/>
  <c r="DC108" i="3"/>
  <c r="DB108" i="3"/>
  <c r="DA108" i="3"/>
  <c r="CZ108" i="3"/>
  <c r="CY108" i="3"/>
  <c r="CX108" i="3"/>
  <c r="CW108" i="3"/>
  <c r="CV108" i="3"/>
  <c r="CU108" i="3"/>
  <c r="CT108" i="3"/>
  <c r="CS108" i="3"/>
  <c r="CR108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E108" i="3"/>
  <c r="E246" i="3" s="1"/>
  <c r="D108" i="3"/>
  <c r="D246" i="3" s="1"/>
  <c r="C108" i="3"/>
  <c r="C246" i="3" s="1"/>
  <c r="B108" i="3"/>
  <c r="B246" i="3" s="1"/>
  <c r="A108" i="3"/>
  <c r="A246" i="3" s="1"/>
  <c r="DU107" i="3"/>
  <c r="DT107" i="3"/>
  <c r="DS107" i="3"/>
  <c r="DR107" i="3"/>
  <c r="DQ107" i="3"/>
  <c r="DP107" i="3"/>
  <c r="DO107" i="3"/>
  <c r="DN107" i="3"/>
  <c r="DM107" i="3"/>
  <c r="DL107" i="3"/>
  <c r="DK107" i="3"/>
  <c r="DJ107" i="3"/>
  <c r="DI107" i="3"/>
  <c r="DH107" i="3"/>
  <c r="DG107" i="3"/>
  <c r="DF107" i="3"/>
  <c r="DE107" i="3"/>
  <c r="DD107" i="3"/>
  <c r="DC107" i="3"/>
  <c r="DB107" i="3"/>
  <c r="DA107" i="3"/>
  <c r="CZ107" i="3"/>
  <c r="CY107" i="3"/>
  <c r="CX107" i="3"/>
  <c r="CW107" i="3"/>
  <c r="CV107" i="3"/>
  <c r="CU107" i="3"/>
  <c r="CT107" i="3"/>
  <c r="CS107" i="3"/>
  <c r="CR107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E107" i="3"/>
  <c r="E245" i="3" s="1"/>
  <c r="D107" i="3"/>
  <c r="D245" i="3" s="1"/>
  <c r="C107" i="3"/>
  <c r="C245" i="3" s="1"/>
  <c r="B107" i="3"/>
  <c r="B245" i="3" s="1"/>
  <c r="A107" i="3"/>
  <c r="A245" i="3" s="1"/>
  <c r="DU106" i="3"/>
  <c r="DT106" i="3"/>
  <c r="DS106" i="3"/>
  <c r="DR106" i="3"/>
  <c r="DQ106" i="3"/>
  <c r="DP106" i="3"/>
  <c r="DO106" i="3"/>
  <c r="DN106" i="3"/>
  <c r="DM106" i="3"/>
  <c r="DL106" i="3"/>
  <c r="DK106" i="3"/>
  <c r="DJ106" i="3"/>
  <c r="DI106" i="3"/>
  <c r="DH106" i="3"/>
  <c r="DG106" i="3"/>
  <c r="DF106" i="3"/>
  <c r="DE106" i="3"/>
  <c r="DD106" i="3"/>
  <c r="DC106" i="3"/>
  <c r="DB106" i="3"/>
  <c r="DA106" i="3"/>
  <c r="CZ106" i="3"/>
  <c r="CY106" i="3"/>
  <c r="CX106" i="3"/>
  <c r="CW106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E106" i="3"/>
  <c r="E244" i="3" s="1"/>
  <c r="D106" i="3"/>
  <c r="D244" i="3" s="1"/>
  <c r="C106" i="3"/>
  <c r="C244" i="3" s="1"/>
  <c r="B106" i="3"/>
  <c r="B244" i="3" s="1"/>
  <c r="A106" i="3"/>
  <c r="A244" i="3" s="1"/>
  <c r="DU105" i="3"/>
  <c r="DT105" i="3"/>
  <c r="DS105" i="3"/>
  <c r="DR105" i="3"/>
  <c r="DQ105" i="3"/>
  <c r="DP105" i="3"/>
  <c r="DO105" i="3"/>
  <c r="DN105" i="3"/>
  <c r="DM105" i="3"/>
  <c r="DL105" i="3"/>
  <c r="DK105" i="3"/>
  <c r="DJ105" i="3"/>
  <c r="DI105" i="3"/>
  <c r="DH105" i="3"/>
  <c r="DG105" i="3"/>
  <c r="DF105" i="3"/>
  <c r="DE105" i="3"/>
  <c r="DD105" i="3"/>
  <c r="DC105" i="3"/>
  <c r="DB105" i="3"/>
  <c r="DA105" i="3"/>
  <c r="CZ105" i="3"/>
  <c r="CY105" i="3"/>
  <c r="CX105" i="3"/>
  <c r="CW105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E105" i="3"/>
  <c r="E243" i="3" s="1"/>
  <c r="D105" i="3"/>
  <c r="D243" i="3" s="1"/>
  <c r="C105" i="3"/>
  <c r="C243" i="3" s="1"/>
  <c r="B105" i="3"/>
  <c r="B243" i="3" s="1"/>
  <c r="A105" i="3"/>
  <c r="A243" i="3" s="1"/>
  <c r="DU104" i="3"/>
  <c r="DT104" i="3"/>
  <c r="DS104" i="3"/>
  <c r="DR104" i="3"/>
  <c r="DQ104" i="3"/>
  <c r="DP104" i="3"/>
  <c r="DO104" i="3"/>
  <c r="DN104" i="3"/>
  <c r="DM104" i="3"/>
  <c r="DL104" i="3"/>
  <c r="DK104" i="3"/>
  <c r="DJ104" i="3"/>
  <c r="DI104" i="3"/>
  <c r="DH104" i="3"/>
  <c r="DG104" i="3"/>
  <c r="DF104" i="3"/>
  <c r="DE104" i="3"/>
  <c r="DD104" i="3"/>
  <c r="DC104" i="3"/>
  <c r="DB104" i="3"/>
  <c r="DA104" i="3"/>
  <c r="CZ104" i="3"/>
  <c r="CY104" i="3"/>
  <c r="CX104" i="3"/>
  <c r="CW104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E104" i="3"/>
  <c r="E242" i="3" s="1"/>
  <c r="D104" i="3"/>
  <c r="D242" i="3" s="1"/>
  <c r="C104" i="3"/>
  <c r="C242" i="3" s="1"/>
  <c r="B104" i="3"/>
  <c r="B242" i="3" s="1"/>
  <c r="A104" i="3"/>
  <c r="A242" i="3" s="1"/>
  <c r="DU103" i="3"/>
  <c r="DT103" i="3"/>
  <c r="DS103" i="3"/>
  <c r="DR103" i="3"/>
  <c r="DQ103" i="3"/>
  <c r="DP103" i="3"/>
  <c r="DO103" i="3"/>
  <c r="DN103" i="3"/>
  <c r="DM103" i="3"/>
  <c r="DL103" i="3"/>
  <c r="DK103" i="3"/>
  <c r="DJ103" i="3"/>
  <c r="DI103" i="3"/>
  <c r="DH103" i="3"/>
  <c r="DG103" i="3"/>
  <c r="DF103" i="3"/>
  <c r="DE103" i="3"/>
  <c r="DD103" i="3"/>
  <c r="DC103" i="3"/>
  <c r="DB103" i="3"/>
  <c r="DA103" i="3"/>
  <c r="CZ103" i="3"/>
  <c r="CY103" i="3"/>
  <c r="CX103" i="3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E103" i="3"/>
  <c r="E241" i="3" s="1"/>
  <c r="D103" i="3"/>
  <c r="D241" i="3" s="1"/>
  <c r="C103" i="3"/>
  <c r="C241" i="3" s="1"/>
  <c r="B103" i="3"/>
  <c r="B241" i="3" s="1"/>
  <c r="A103" i="3"/>
  <c r="A241" i="3" s="1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E102" i="3"/>
  <c r="E240" i="3" s="1"/>
  <c r="D102" i="3"/>
  <c r="D240" i="3" s="1"/>
  <c r="C102" i="3"/>
  <c r="C240" i="3" s="1"/>
  <c r="B102" i="3"/>
  <c r="B240" i="3" s="1"/>
  <c r="A102" i="3"/>
  <c r="A240" i="3" s="1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E101" i="3"/>
  <c r="E239" i="3" s="1"/>
  <c r="D101" i="3"/>
  <c r="D239" i="3" s="1"/>
  <c r="C101" i="3"/>
  <c r="C239" i="3" s="1"/>
  <c r="B101" i="3"/>
  <c r="B239" i="3" s="1"/>
  <c r="A101" i="3"/>
  <c r="A239" i="3" s="1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E100" i="3"/>
  <c r="E238" i="3" s="1"/>
  <c r="D100" i="3"/>
  <c r="D238" i="3" s="1"/>
  <c r="C100" i="3"/>
  <c r="C238" i="3" s="1"/>
  <c r="B100" i="3"/>
  <c r="B238" i="3" s="1"/>
  <c r="A100" i="3"/>
  <c r="A238" i="3" s="1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E99" i="3"/>
  <c r="E237" i="3" s="1"/>
  <c r="D99" i="3"/>
  <c r="D237" i="3" s="1"/>
  <c r="C99" i="3"/>
  <c r="C237" i="3" s="1"/>
  <c r="B99" i="3"/>
  <c r="B237" i="3" s="1"/>
  <c r="A99" i="3"/>
  <c r="A237" i="3" s="1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E98" i="3"/>
  <c r="E236" i="3" s="1"/>
  <c r="D98" i="3"/>
  <c r="D236" i="3" s="1"/>
  <c r="C98" i="3"/>
  <c r="C236" i="3" s="1"/>
  <c r="B98" i="3"/>
  <c r="B236" i="3" s="1"/>
  <c r="A98" i="3"/>
  <c r="A236" i="3" s="1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E97" i="3"/>
  <c r="E235" i="3" s="1"/>
  <c r="D97" i="3"/>
  <c r="D235" i="3" s="1"/>
  <c r="C97" i="3"/>
  <c r="C235" i="3" s="1"/>
  <c r="B97" i="3"/>
  <c r="B235" i="3" s="1"/>
  <c r="A97" i="3"/>
  <c r="A235" i="3" s="1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E96" i="3"/>
  <c r="E234" i="3" s="1"/>
  <c r="D96" i="3"/>
  <c r="D234" i="3" s="1"/>
  <c r="C96" i="3"/>
  <c r="C234" i="3" s="1"/>
  <c r="B96" i="3"/>
  <c r="B234" i="3" s="1"/>
  <c r="A96" i="3"/>
  <c r="A234" i="3" s="1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E95" i="3"/>
  <c r="E233" i="3" s="1"/>
  <c r="D95" i="3"/>
  <c r="D233" i="3" s="1"/>
  <c r="C95" i="3"/>
  <c r="C233" i="3" s="1"/>
  <c r="B95" i="3"/>
  <c r="B233" i="3" s="1"/>
  <c r="A95" i="3"/>
  <c r="A233" i="3" s="1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E94" i="3"/>
  <c r="E232" i="3" s="1"/>
  <c r="D94" i="3"/>
  <c r="D232" i="3" s="1"/>
  <c r="C94" i="3"/>
  <c r="C232" i="3" s="1"/>
  <c r="B94" i="3"/>
  <c r="B232" i="3" s="1"/>
  <c r="A94" i="3"/>
  <c r="A232" i="3" s="1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E93" i="3"/>
  <c r="E231" i="3" s="1"/>
  <c r="D93" i="3"/>
  <c r="D231" i="3" s="1"/>
  <c r="C93" i="3"/>
  <c r="C231" i="3" s="1"/>
  <c r="B93" i="3"/>
  <c r="B231" i="3" s="1"/>
  <c r="A93" i="3"/>
  <c r="A231" i="3" s="1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E92" i="3"/>
  <c r="E230" i="3" s="1"/>
  <c r="D92" i="3"/>
  <c r="D230" i="3" s="1"/>
  <c r="C92" i="3"/>
  <c r="C230" i="3" s="1"/>
  <c r="B92" i="3"/>
  <c r="B230" i="3" s="1"/>
  <c r="A92" i="3"/>
  <c r="A230" i="3" s="1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E91" i="3"/>
  <c r="E229" i="3" s="1"/>
  <c r="D91" i="3"/>
  <c r="D229" i="3" s="1"/>
  <c r="C91" i="3"/>
  <c r="C229" i="3" s="1"/>
  <c r="B91" i="3"/>
  <c r="B229" i="3" s="1"/>
  <c r="A91" i="3"/>
  <c r="A229" i="3" s="1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E90" i="3"/>
  <c r="E228" i="3" s="1"/>
  <c r="D90" i="3"/>
  <c r="D228" i="3" s="1"/>
  <c r="C90" i="3"/>
  <c r="C228" i="3" s="1"/>
  <c r="B90" i="3"/>
  <c r="B228" i="3" s="1"/>
  <c r="A90" i="3"/>
  <c r="A228" i="3" s="1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E89" i="3"/>
  <c r="E227" i="3" s="1"/>
  <c r="D89" i="3"/>
  <c r="D227" i="3" s="1"/>
  <c r="C89" i="3"/>
  <c r="C227" i="3" s="1"/>
  <c r="B89" i="3"/>
  <c r="B227" i="3" s="1"/>
  <c r="A89" i="3"/>
  <c r="A227" i="3" s="1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E88" i="3"/>
  <c r="B88" i="3"/>
  <c r="A88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E87" i="3"/>
  <c r="E226" i="3" s="1"/>
  <c r="D87" i="3"/>
  <c r="D226" i="3" s="1"/>
  <c r="C87" i="3"/>
  <c r="C226" i="3" s="1"/>
  <c r="B87" i="3"/>
  <c r="B226" i="3" s="1"/>
  <c r="A87" i="3"/>
  <c r="A226" i="3" s="1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E86" i="3"/>
  <c r="E225" i="3" s="1"/>
  <c r="D86" i="3"/>
  <c r="D225" i="3" s="1"/>
  <c r="C86" i="3"/>
  <c r="C225" i="3" s="1"/>
  <c r="B86" i="3"/>
  <c r="B225" i="3" s="1"/>
  <c r="A86" i="3"/>
  <c r="A225" i="3" s="1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E85" i="3"/>
  <c r="E224" i="3" s="1"/>
  <c r="D85" i="3"/>
  <c r="D224" i="3" s="1"/>
  <c r="C85" i="3"/>
  <c r="C224" i="3" s="1"/>
  <c r="B85" i="3"/>
  <c r="B224" i="3" s="1"/>
  <c r="A85" i="3"/>
  <c r="A224" i="3" s="1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E84" i="3"/>
  <c r="E223" i="3" s="1"/>
  <c r="D84" i="3"/>
  <c r="D223" i="3" s="1"/>
  <c r="C84" i="3"/>
  <c r="C223" i="3" s="1"/>
  <c r="B84" i="3"/>
  <c r="B223" i="3" s="1"/>
  <c r="A84" i="3"/>
  <c r="A223" i="3" s="1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E83" i="3"/>
  <c r="E222" i="3" s="1"/>
  <c r="D83" i="3"/>
  <c r="D222" i="3" s="1"/>
  <c r="C83" i="3"/>
  <c r="C222" i="3" s="1"/>
  <c r="B83" i="3"/>
  <c r="B222" i="3" s="1"/>
  <c r="A83" i="3"/>
  <c r="A222" i="3" s="1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E82" i="3"/>
  <c r="E221" i="3" s="1"/>
  <c r="D82" i="3"/>
  <c r="D221" i="3" s="1"/>
  <c r="C82" i="3"/>
  <c r="C221" i="3" s="1"/>
  <c r="B82" i="3"/>
  <c r="B221" i="3" s="1"/>
  <c r="A82" i="3"/>
  <c r="A221" i="3" s="1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E81" i="3"/>
  <c r="E220" i="3" s="1"/>
  <c r="D81" i="3"/>
  <c r="D220" i="3" s="1"/>
  <c r="C81" i="3"/>
  <c r="C220" i="3" s="1"/>
  <c r="B81" i="3"/>
  <c r="B220" i="3" s="1"/>
  <c r="A81" i="3"/>
  <c r="A220" i="3" s="1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E80" i="3"/>
  <c r="E219" i="3" s="1"/>
  <c r="D80" i="3"/>
  <c r="D219" i="3" s="1"/>
  <c r="C80" i="3"/>
  <c r="C219" i="3" s="1"/>
  <c r="B80" i="3"/>
  <c r="B219" i="3" s="1"/>
  <c r="A80" i="3"/>
  <c r="A219" i="3" s="1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E79" i="3"/>
  <c r="E218" i="3" s="1"/>
  <c r="D79" i="3"/>
  <c r="D218" i="3" s="1"/>
  <c r="C79" i="3"/>
  <c r="C218" i="3" s="1"/>
  <c r="B79" i="3"/>
  <c r="B218" i="3" s="1"/>
  <c r="A79" i="3"/>
  <c r="A218" i="3" s="1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E78" i="3"/>
  <c r="E217" i="3" s="1"/>
  <c r="D78" i="3"/>
  <c r="D217" i="3" s="1"/>
  <c r="C78" i="3"/>
  <c r="C217" i="3" s="1"/>
  <c r="B78" i="3"/>
  <c r="B217" i="3" s="1"/>
  <c r="A78" i="3"/>
  <c r="A217" i="3" s="1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E77" i="3"/>
  <c r="E216" i="3" s="1"/>
  <c r="D77" i="3"/>
  <c r="D216" i="3" s="1"/>
  <c r="C77" i="3"/>
  <c r="C216" i="3" s="1"/>
  <c r="B77" i="3"/>
  <c r="B216" i="3" s="1"/>
  <c r="A77" i="3"/>
  <c r="A216" i="3" s="1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E76" i="3"/>
  <c r="E215" i="3" s="1"/>
  <c r="D76" i="3"/>
  <c r="D215" i="3" s="1"/>
  <c r="C76" i="3"/>
  <c r="C215" i="3" s="1"/>
  <c r="B76" i="3"/>
  <c r="B215" i="3" s="1"/>
  <c r="A76" i="3"/>
  <c r="A215" i="3" s="1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E75" i="3"/>
  <c r="E214" i="3" s="1"/>
  <c r="D75" i="3"/>
  <c r="D214" i="3" s="1"/>
  <c r="C75" i="3"/>
  <c r="C214" i="3" s="1"/>
  <c r="B75" i="3"/>
  <c r="B214" i="3" s="1"/>
  <c r="A75" i="3"/>
  <c r="A214" i="3" s="1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E74" i="3"/>
  <c r="E213" i="3" s="1"/>
  <c r="D74" i="3"/>
  <c r="D213" i="3" s="1"/>
  <c r="C74" i="3"/>
  <c r="C213" i="3" s="1"/>
  <c r="B74" i="3"/>
  <c r="B213" i="3" s="1"/>
  <c r="A74" i="3"/>
  <c r="A213" i="3" s="1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E73" i="3"/>
  <c r="E212" i="3" s="1"/>
  <c r="D73" i="3"/>
  <c r="D212" i="3" s="1"/>
  <c r="C73" i="3"/>
  <c r="C212" i="3" s="1"/>
  <c r="B73" i="3"/>
  <c r="B212" i="3" s="1"/>
  <c r="A73" i="3"/>
  <c r="A212" i="3" s="1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E72" i="3"/>
  <c r="E211" i="3" s="1"/>
  <c r="D72" i="3"/>
  <c r="D211" i="3" s="1"/>
  <c r="C72" i="3"/>
  <c r="C211" i="3" s="1"/>
  <c r="B72" i="3"/>
  <c r="B211" i="3" s="1"/>
  <c r="A72" i="3"/>
  <c r="A211" i="3" s="1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E71" i="3"/>
  <c r="E210" i="3" s="1"/>
  <c r="D71" i="3"/>
  <c r="D210" i="3" s="1"/>
  <c r="C71" i="3"/>
  <c r="C210" i="3" s="1"/>
  <c r="B71" i="3"/>
  <c r="B210" i="3" s="1"/>
  <c r="A71" i="3"/>
  <c r="A210" i="3" s="1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E70" i="3"/>
  <c r="E209" i="3" s="1"/>
  <c r="D70" i="3"/>
  <c r="D209" i="3" s="1"/>
  <c r="C70" i="3"/>
  <c r="C209" i="3" s="1"/>
  <c r="B70" i="3"/>
  <c r="B209" i="3" s="1"/>
  <c r="A70" i="3"/>
  <c r="A209" i="3" s="1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E69" i="3"/>
  <c r="E208" i="3" s="1"/>
  <c r="D69" i="3"/>
  <c r="D208" i="3" s="1"/>
  <c r="C69" i="3"/>
  <c r="C208" i="3" s="1"/>
  <c r="B69" i="3"/>
  <c r="B208" i="3" s="1"/>
  <c r="A69" i="3"/>
  <c r="A208" i="3" s="1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E68" i="3"/>
  <c r="E207" i="3" s="1"/>
  <c r="D68" i="3"/>
  <c r="D207" i="3" s="1"/>
  <c r="C68" i="3"/>
  <c r="C207" i="3" s="1"/>
  <c r="B68" i="3"/>
  <c r="B207" i="3" s="1"/>
  <c r="A68" i="3"/>
  <c r="A207" i="3" s="1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E67" i="3"/>
  <c r="B67" i="3"/>
  <c r="A67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E66" i="3"/>
  <c r="E206" i="3" s="1"/>
  <c r="D66" i="3"/>
  <c r="D206" i="3" s="1"/>
  <c r="C66" i="3"/>
  <c r="C206" i="3" s="1"/>
  <c r="B66" i="3"/>
  <c r="B206" i="3" s="1"/>
  <c r="A66" i="3"/>
  <c r="A206" i="3" s="1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E65" i="3"/>
  <c r="E205" i="3" s="1"/>
  <c r="D65" i="3"/>
  <c r="D205" i="3" s="1"/>
  <c r="C65" i="3"/>
  <c r="C205" i="3" s="1"/>
  <c r="B65" i="3"/>
  <c r="B205" i="3" s="1"/>
  <c r="A65" i="3"/>
  <c r="A205" i="3" s="1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E64" i="3"/>
  <c r="E204" i="3" s="1"/>
  <c r="D64" i="3"/>
  <c r="D204" i="3" s="1"/>
  <c r="C64" i="3"/>
  <c r="C204" i="3" s="1"/>
  <c r="B64" i="3"/>
  <c r="B204" i="3" s="1"/>
  <c r="A64" i="3"/>
  <c r="A204" i="3" s="1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E63" i="3"/>
  <c r="E203" i="3" s="1"/>
  <c r="D63" i="3"/>
  <c r="D203" i="3" s="1"/>
  <c r="C63" i="3"/>
  <c r="C203" i="3" s="1"/>
  <c r="B63" i="3"/>
  <c r="B203" i="3" s="1"/>
  <c r="A63" i="3"/>
  <c r="A203" i="3" s="1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E62" i="3"/>
  <c r="E202" i="3" s="1"/>
  <c r="D62" i="3"/>
  <c r="D202" i="3" s="1"/>
  <c r="C62" i="3"/>
  <c r="C202" i="3" s="1"/>
  <c r="B62" i="3"/>
  <c r="B202" i="3" s="1"/>
  <c r="A62" i="3"/>
  <c r="A202" i="3" s="1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E61" i="3"/>
  <c r="E201" i="3" s="1"/>
  <c r="D61" i="3"/>
  <c r="D201" i="3" s="1"/>
  <c r="C61" i="3"/>
  <c r="C201" i="3" s="1"/>
  <c r="B61" i="3"/>
  <c r="B201" i="3" s="1"/>
  <c r="A61" i="3"/>
  <c r="A201" i="3" s="1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E60" i="3"/>
  <c r="E200" i="3" s="1"/>
  <c r="D60" i="3"/>
  <c r="D200" i="3" s="1"/>
  <c r="C60" i="3"/>
  <c r="C200" i="3" s="1"/>
  <c r="B60" i="3"/>
  <c r="B200" i="3" s="1"/>
  <c r="A60" i="3"/>
  <c r="A200" i="3" s="1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E59" i="3"/>
  <c r="E199" i="3" s="1"/>
  <c r="D59" i="3"/>
  <c r="D199" i="3" s="1"/>
  <c r="C59" i="3"/>
  <c r="C199" i="3" s="1"/>
  <c r="B59" i="3"/>
  <c r="B199" i="3" s="1"/>
  <c r="A59" i="3"/>
  <c r="A199" i="3" s="1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E58" i="3"/>
  <c r="E198" i="3" s="1"/>
  <c r="D58" i="3"/>
  <c r="D198" i="3" s="1"/>
  <c r="C58" i="3"/>
  <c r="C198" i="3" s="1"/>
  <c r="B58" i="3"/>
  <c r="B198" i="3" s="1"/>
  <c r="A58" i="3"/>
  <c r="A198" i="3" s="1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E57" i="3"/>
  <c r="E197" i="3" s="1"/>
  <c r="D57" i="3"/>
  <c r="D197" i="3" s="1"/>
  <c r="C57" i="3"/>
  <c r="C197" i="3" s="1"/>
  <c r="B57" i="3"/>
  <c r="B197" i="3" s="1"/>
  <c r="A57" i="3"/>
  <c r="A197" i="3" s="1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E56" i="3"/>
  <c r="E196" i="3" s="1"/>
  <c r="D56" i="3"/>
  <c r="D196" i="3" s="1"/>
  <c r="C56" i="3"/>
  <c r="C196" i="3" s="1"/>
  <c r="B56" i="3"/>
  <c r="B196" i="3" s="1"/>
  <c r="A56" i="3"/>
  <c r="A196" i="3" s="1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E55" i="3"/>
  <c r="E195" i="3" s="1"/>
  <c r="D55" i="3"/>
  <c r="D195" i="3" s="1"/>
  <c r="C55" i="3"/>
  <c r="C195" i="3" s="1"/>
  <c r="B55" i="3"/>
  <c r="B195" i="3" s="1"/>
  <c r="A55" i="3"/>
  <c r="A195" i="3" s="1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E54" i="3"/>
  <c r="E194" i="3" s="1"/>
  <c r="D54" i="3"/>
  <c r="D194" i="3" s="1"/>
  <c r="C54" i="3"/>
  <c r="C194" i="3" s="1"/>
  <c r="B54" i="3"/>
  <c r="B194" i="3" s="1"/>
  <c r="A54" i="3"/>
  <c r="A194" i="3" s="1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E53" i="3"/>
  <c r="E193" i="3" s="1"/>
  <c r="D53" i="3"/>
  <c r="D193" i="3" s="1"/>
  <c r="C53" i="3"/>
  <c r="C193" i="3" s="1"/>
  <c r="B53" i="3"/>
  <c r="B193" i="3" s="1"/>
  <c r="A53" i="3"/>
  <c r="A193" i="3" s="1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E52" i="3"/>
  <c r="E192" i="3" s="1"/>
  <c r="D52" i="3"/>
  <c r="D192" i="3" s="1"/>
  <c r="C52" i="3"/>
  <c r="C192" i="3" s="1"/>
  <c r="B52" i="3"/>
  <c r="B192" i="3" s="1"/>
  <c r="A52" i="3"/>
  <c r="A192" i="3" s="1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E51" i="3"/>
  <c r="E191" i="3" s="1"/>
  <c r="D51" i="3"/>
  <c r="D191" i="3" s="1"/>
  <c r="C51" i="3"/>
  <c r="C191" i="3" s="1"/>
  <c r="B51" i="3"/>
  <c r="B191" i="3" s="1"/>
  <c r="A51" i="3"/>
  <c r="A191" i="3" s="1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E50" i="3"/>
  <c r="E190" i="3" s="1"/>
  <c r="D50" i="3"/>
  <c r="D190" i="3" s="1"/>
  <c r="C50" i="3"/>
  <c r="C190" i="3" s="1"/>
  <c r="B50" i="3"/>
  <c r="B190" i="3" s="1"/>
  <c r="A50" i="3"/>
  <c r="A190" i="3" s="1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E49" i="3"/>
  <c r="E189" i="3" s="1"/>
  <c r="D49" i="3"/>
  <c r="D189" i="3" s="1"/>
  <c r="C49" i="3"/>
  <c r="C189" i="3" s="1"/>
  <c r="B49" i="3"/>
  <c r="B189" i="3" s="1"/>
  <c r="A49" i="3"/>
  <c r="A189" i="3" s="1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E48" i="3"/>
  <c r="E188" i="3" s="1"/>
  <c r="D48" i="3"/>
  <c r="D188" i="3" s="1"/>
  <c r="C48" i="3"/>
  <c r="C188" i="3" s="1"/>
  <c r="B48" i="3"/>
  <c r="B188" i="3" s="1"/>
  <c r="A48" i="3"/>
  <c r="A188" i="3" s="1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E47" i="3"/>
  <c r="E187" i="3" s="1"/>
  <c r="D47" i="3"/>
  <c r="D187" i="3" s="1"/>
  <c r="C47" i="3"/>
  <c r="C187" i="3" s="1"/>
  <c r="B47" i="3"/>
  <c r="B187" i="3" s="1"/>
  <c r="A47" i="3"/>
  <c r="A187" i="3" s="1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E46" i="3"/>
  <c r="B46" i="3"/>
  <c r="A46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E45" i="3"/>
  <c r="E186" i="3" s="1"/>
  <c r="D45" i="3"/>
  <c r="D186" i="3" s="1"/>
  <c r="C45" i="3"/>
  <c r="C186" i="3" s="1"/>
  <c r="B45" i="3"/>
  <c r="B186" i="3" s="1"/>
  <c r="A45" i="3"/>
  <c r="A186" i="3" s="1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E44" i="3"/>
  <c r="E185" i="3" s="1"/>
  <c r="D44" i="3"/>
  <c r="D185" i="3" s="1"/>
  <c r="C44" i="3"/>
  <c r="C185" i="3" s="1"/>
  <c r="B44" i="3"/>
  <c r="B185" i="3" s="1"/>
  <c r="A44" i="3"/>
  <c r="A185" i="3" s="1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E43" i="3"/>
  <c r="E184" i="3" s="1"/>
  <c r="D43" i="3"/>
  <c r="D184" i="3" s="1"/>
  <c r="C43" i="3"/>
  <c r="C184" i="3" s="1"/>
  <c r="B43" i="3"/>
  <c r="B184" i="3" s="1"/>
  <c r="A43" i="3"/>
  <c r="A184" i="3" s="1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E42" i="3"/>
  <c r="E183" i="3" s="1"/>
  <c r="D42" i="3"/>
  <c r="D183" i="3" s="1"/>
  <c r="C42" i="3"/>
  <c r="C183" i="3" s="1"/>
  <c r="B42" i="3"/>
  <c r="B183" i="3" s="1"/>
  <c r="A42" i="3"/>
  <c r="A183" i="3" s="1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E41" i="3"/>
  <c r="E182" i="3" s="1"/>
  <c r="D41" i="3"/>
  <c r="D182" i="3" s="1"/>
  <c r="C41" i="3"/>
  <c r="C182" i="3" s="1"/>
  <c r="B41" i="3"/>
  <c r="B182" i="3" s="1"/>
  <c r="A41" i="3"/>
  <c r="A182" i="3" s="1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E40" i="3"/>
  <c r="E181" i="3" s="1"/>
  <c r="D40" i="3"/>
  <c r="D181" i="3" s="1"/>
  <c r="C40" i="3"/>
  <c r="C181" i="3" s="1"/>
  <c r="B40" i="3"/>
  <c r="B181" i="3" s="1"/>
  <c r="A40" i="3"/>
  <c r="A181" i="3" s="1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E39" i="3"/>
  <c r="E180" i="3" s="1"/>
  <c r="D39" i="3"/>
  <c r="D180" i="3" s="1"/>
  <c r="C39" i="3"/>
  <c r="C180" i="3" s="1"/>
  <c r="B39" i="3"/>
  <c r="B180" i="3" s="1"/>
  <c r="A39" i="3"/>
  <c r="A180" i="3" s="1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E38" i="3"/>
  <c r="E179" i="3" s="1"/>
  <c r="D38" i="3"/>
  <c r="D179" i="3" s="1"/>
  <c r="C38" i="3"/>
  <c r="C179" i="3" s="1"/>
  <c r="B38" i="3"/>
  <c r="B179" i="3" s="1"/>
  <c r="A38" i="3"/>
  <c r="A179" i="3" s="1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E37" i="3"/>
  <c r="E178" i="3" s="1"/>
  <c r="D37" i="3"/>
  <c r="D178" i="3" s="1"/>
  <c r="C37" i="3"/>
  <c r="C178" i="3" s="1"/>
  <c r="B37" i="3"/>
  <c r="B178" i="3" s="1"/>
  <c r="A37" i="3"/>
  <c r="A178" i="3" s="1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E36" i="3"/>
  <c r="E177" i="3" s="1"/>
  <c r="D36" i="3"/>
  <c r="D177" i="3" s="1"/>
  <c r="C36" i="3"/>
  <c r="C177" i="3" s="1"/>
  <c r="B36" i="3"/>
  <c r="B177" i="3" s="1"/>
  <c r="A36" i="3"/>
  <c r="A177" i="3" s="1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E35" i="3"/>
  <c r="E176" i="3" s="1"/>
  <c r="D35" i="3"/>
  <c r="D176" i="3" s="1"/>
  <c r="C35" i="3"/>
  <c r="C176" i="3" s="1"/>
  <c r="B35" i="3"/>
  <c r="B176" i="3" s="1"/>
  <c r="A35" i="3"/>
  <c r="A176" i="3" s="1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E34" i="3"/>
  <c r="E175" i="3" s="1"/>
  <c r="D34" i="3"/>
  <c r="D175" i="3" s="1"/>
  <c r="C34" i="3"/>
  <c r="C175" i="3" s="1"/>
  <c r="B34" i="3"/>
  <c r="B175" i="3" s="1"/>
  <c r="A34" i="3"/>
  <c r="A175" i="3" s="1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E33" i="3"/>
  <c r="E174" i="3" s="1"/>
  <c r="D33" i="3"/>
  <c r="D174" i="3" s="1"/>
  <c r="C33" i="3"/>
  <c r="C174" i="3" s="1"/>
  <c r="B33" i="3"/>
  <c r="B174" i="3" s="1"/>
  <c r="A33" i="3"/>
  <c r="A174" i="3" s="1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E32" i="3"/>
  <c r="E173" i="3" s="1"/>
  <c r="D32" i="3"/>
  <c r="D173" i="3" s="1"/>
  <c r="C32" i="3"/>
  <c r="C173" i="3" s="1"/>
  <c r="B32" i="3"/>
  <c r="B173" i="3" s="1"/>
  <c r="A32" i="3"/>
  <c r="A173" i="3" s="1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E31" i="3"/>
  <c r="E172" i="3" s="1"/>
  <c r="D31" i="3"/>
  <c r="D172" i="3" s="1"/>
  <c r="C31" i="3"/>
  <c r="C172" i="3" s="1"/>
  <c r="B31" i="3"/>
  <c r="B172" i="3" s="1"/>
  <c r="A31" i="3"/>
  <c r="A172" i="3" s="1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E30" i="3"/>
  <c r="E171" i="3" s="1"/>
  <c r="D30" i="3"/>
  <c r="D171" i="3" s="1"/>
  <c r="C30" i="3"/>
  <c r="C171" i="3" s="1"/>
  <c r="B30" i="3"/>
  <c r="B171" i="3" s="1"/>
  <c r="A30" i="3"/>
  <c r="A171" i="3" s="1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E29" i="3"/>
  <c r="E170" i="3" s="1"/>
  <c r="D29" i="3"/>
  <c r="D170" i="3" s="1"/>
  <c r="C29" i="3"/>
  <c r="C170" i="3" s="1"/>
  <c r="B29" i="3"/>
  <c r="B170" i="3" s="1"/>
  <c r="A29" i="3"/>
  <c r="A170" i="3" s="1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E28" i="3"/>
  <c r="E169" i="3" s="1"/>
  <c r="D28" i="3"/>
  <c r="D169" i="3" s="1"/>
  <c r="C28" i="3"/>
  <c r="C169" i="3" s="1"/>
  <c r="B28" i="3"/>
  <c r="B169" i="3" s="1"/>
  <c r="A28" i="3"/>
  <c r="A169" i="3" s="1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E27" i="3"/>
  <c r="E168" i="3" s="1"/>
  <c r="D27" i="3"/>
  <c r="D168" i="3" s="1"/>
  <c r="C27" i="3"/>
  <c r="C168" i="3" s="1"/>
  <c r="B27" i="3"/>
  <c r="B168" i="3" s="1"/>
  <c r="A27" i="3"/>
  <c r="A168" i="3" s="1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E26" i="3"/>
  <c r="E167" i="3" s="1"/>
  <c r="D26" i="3"/>
  <c r="D167" i="3" s="1"/>
  <c r="C26" i="3"/>
  <c r="C167" i="3" s="1"/>
  <c r="B26" i="3"/>
  <c r="B167" i="3" s="1"/>
  <c r="A26" i="3"/>
  <c r="A167" i="3" s="1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E25" i="3"/>
  <c r="B25" i="3"/>
  <c r="A25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E24" i="3"/>
  <c r="E166" i="3" s="1"/>
  <c r="D24" i="3"/>
  <c r="D166" i="3" s="1"/>
  <c r="C24" i="3"/>
  <c r="C166" i="3" s="1"/>
  <c r="B24" i="3"/>
  <c r="B166" i="3" s="1"/>
  <c r="A24" i="3"/>
  <c r="A166" i="3" s="1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E23" i="3"/>
  <c r="E165" i="3" s="1"/>
  <c r="D23" i="3"/>
  <c r="D165" i="3" s="1"/>
  <c r="C23" i="3"/>
  <c r="C165" i="3" s="1"/>
  <c r="B23" i="3"/>
  <c r="B165" i="3" s="1"/>
  <c r="A23" i="3"/>
  <c r="A165" i="3" s="1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E22" i="3"/>
  <c r="E164" i="3" s="1"/>
  <c r="D22" i="3"/>
  <c r="D164" i="3" s="1"/>
  <c r="C22" i="3"/>
  <c r="C164" i="3" s="1"/>
  <c r="B22" i="3"/>
  <c r="B164" i="3" s="1"/>
  <c r="A22" i="3"/>
  <c r="A164" i="3" s="1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E21" i="3"/>
  <c r="E163" i="3" s="1"/>
  <c r="D21" i="3"/>
  <c r="D163" i="3" s="1"/>
  <c r="C21" i="3"/>
  <c r="C163" i="3" s="1"/>
  <c r="B21" i="3"/>
  <c r="B163" i="3" s="1"/>
  <c r="A21" i="3"/>
  <c r="A163" i="3" s="1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E20" i="3"/>
  <c r="E162" i="3" s="1"/>
  <c r="D20" i="3"/>
  <c r="D162" i="3" s="1"/>
  <c r="C20" i="3"/>
  <c r="C162" i="3" s="1"/>
  <c r="B20" i="3"/>
  <c r="B162" i="3" s="1"/>
  <c r="A20" i="3"/>
  <c r="A162" i="3" s="1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E19" i="3"/>
  <c r="E161" i="3" s="1"/>
  <c r="D19" i="3"/>
  <c r="D161" i="3" s="1"/>
  <c r="C19" i="3"/>
  <c r="C161" i="3" s="1"/>
  <c r="B19" i="3"/>
  <c r="B161" i="3" s="1"/>
  <c r="A19" i="3"/>
  <c r="A161" i="3" s="1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E18" i="3"/>
  <c r="E160" i="3" s="1"/>
  <c r="D18" i="3"/>
  <c r="D160" i="3" s="1"/>
  <c r="C18" i="3"/>
  <c r="C160" i="3" s="1"/>
  <c r="B18" i="3"/>
  <c r="B160" i="3" s="1"/>
  <c r="A18" i="3"/>
  <c r="A160" i="3" s="1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E17" i="3"/>
  <c r="E159" i="3" s="1"/>
  <c r="D17" i="3"/>
  <c r="D159" i="3" s="1"/>
  <c r="C17" i="3"/>
  <c r="C159" i="3" s="1"/>
  <c r="B17" i="3"/>
  <c r="B159" i="3" s="1"/>
  <c r="A17" i="3"/>
  <c r="A159" i="3" s="1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E16" i="3"/>
  <c r="E158" i="3" s="1"/>
  <c r="D16" i="3"/>
  <c r="D158" i="3" s="1"/>
  <c r="C16" i="3"/>
  <c r="C158" i="3" s="1"/>
  <c r="B16" i="3"/>
  <c r="B158" i="3" s="1"/>
  <c r="A16" i="3"/>
  <c r="A158" i="3" s="1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E15" i="3"/>
  <c r="E157" i="3" s="1"/>
  <c r="D15" i="3"/>
  <c r="D157" i="3" s="1"/>
  <c r="C15" i="3"/>
  <c r="C157" i="3" s="1"/>
  <c r="B15" i="3"/>
  <c r="B157" i="3" s="1"/>
  <c r="A15" i="3"/>
  <c r="A157" i="3" s="1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E14" i="3"/>
  <c r="E156" i="3" s="1"/>
  <c r="D14" i="3"/>
  <c r="D156" i="3" s="1"/>
  <c r="C14" i="3"/>
  <c r="C156" i="3" s="1"/>
  <c r="B14" i="3"/>
  <c r="B156" i="3" s="1"/>
  <c r="A14" i="3"/>
  <c r="A156" i="3" s="1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E13" i="3"/>
  <c r="E155" i="3" s="1"/>
  <c r="D13" i="3"/>
  <c r="D155" i="3" s="1"/>
  <c r="C13" i="3"/>
  <c r="C155" i="3" s="1"/>
  <c r="B13" i="3"/>
  <c r="B155" i="3" s="1"/>
  <c r="A13" i="3"/>
  <c r="A155" i="3" s="1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E12" i="3"/>
  <c r="E154" i="3" s="1"/>
  <c r="D12" i="3"/>
  <c r="D154" i="3" s="1"/>
  <c r="C12" i="3"/>
  <c r="C154" i="3" s="1"/>
  <c r="B12" i="3"/>
  <c r="B154" i="3" s="1"/>
  <c r="A12" i="3"/>
  <c r="A154" i="3" s="1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E11" i="3"/>
  <c r="E153" i="3" s="1"/>
  <c r="D11" i="3"/>
  <c r="D153" i="3" s="1"/>
  <c r="C11" i="3"/>
  <c r="C153" i="3" s="1"/>
  <c r="B11" i="3"/>
  <c r="B153" i="3" s="1"/>
  <c r="A11" i="3"/>
  <c r="A153" i="3" s="1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E10" i="3"/>
  <c r="E152" i="3" s="1"/>
  <c r="D10" i="3"/>
  <c r="D152" i="3" s="1"/>
  <c r="C10" i="3"/>
  <c r="C152" i="3" s="1"/>
  <c r="B10" i="3"/>
  <c r="B152" i="3" s="1"/>
  <c r="A10" i="3"/>
  <c r="A152" i="3" s="1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E9" i="3"/>
  <c r="E151" i="3" s="1"/>
  <c r="D9" i="3"/>
  <c r="D151" i="3" s="1"/>
  <c r="C9" i="3"/>
  <c r="C151" i="3" s="1"/>
  <c r="B9" i="3"/>
  <c r="B151" i="3" s="1"/>
  <c r="A9" i="3"/>
  <c r="A151" i="3" s="1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E8" i="3"/>
  <c r="E150" i="3" s="1"/>
  <c r="D8" i="3"/>
  <c r="D150" i="3" s="1"/>
  <c r="C8" i="3"/>
  <c r="C150" i="3" s="1"/>
  <c r="B8" i="3"/>
  <c r="B150" i="3" s="1"/>
  <c r="A8" i="3"/>
  <c r="A150" i="3" s="1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E7" i="3"/>
  <c r="E149" i="3" s="1"/>
  <c r="D7" i="3"/>
  <c r="D149" i="3" s="1"/>
  <c r="C7" i="3"/>
  <c r="C149" i="3" s="1"/>
  <c r="B7" i="3"/>
  <c r="B149" i="3" s="1"/>
  <c r="A7" i="3"/>
  <c r="A149" i="3" s="1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E6" i="3"/>
  <c r="E148" i="3" s="1"/>
  <c r="D6" i="3"/>
  <c r="D148" i="3" s="1"/>
  <c r="C6" i="3"/>
  <c r="C148" i="3" s="1"/>
  <c r="B6" i="3"/>
  <c r="B148" i="3" s="1"/>
  <c r="A6" i="3"/>
  <c r="A148" i="3" s="1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E5" i="3"/>
  <c r="E147" i="3" s="1"/>
  <c r="D5" i="3"/>
  <c r="D147" i="3" s="1"/>
  <c r="C5" i="3"/>
  <c r="C147" i="3" s="1"/>
  <c r="B5" i="3"/>
  <c r="B147" i="3" s="1"/>
  <c r="A5" i="3"/>
  <c r="A147" i="3" s="1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E4" i="3"/>
  <c r="B4" i="3"/>
  <c r="A4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E3" i="3"/>
  <c r="B3" i="3"/>
  <c r="A3" i="3"/>
  <c r="E2" i="3"/>
  <c r="D2" i="3"/>
  <c r="C2" i="3"/>
  <c r="B2" i="3"/>
  <c r="A2" i="3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F155" i="3"/>
  <c r="F147" i="3"/>
  <c r="F237" i="3"/>
  <c r="F255" i="3"/>
  <c r="F162" i="3"/>
  <c r="F164" i="3"/>
  <c r="F152" i="3"/>
  <c r="F194" i="3"/>
  <c r="F212" i="3"/>
  <c r="F239" i="3"/>
  <c r="F149" i="3"/>
  <c r="F244" i="3"/>
  <c r="F208" i="3"/>
  <c r="F184" i="3"/>
  <c r="F249" i="3"/>
  <c r="F167" i="3"/>
  <c r="F180" i="3"/>
  <c r="F232" i="3"/>
  <c r="F172" i="3"/>
  <c r="F168" i="3"/>
  <c r="F169" i="3"/>
  <c r="F170" i="3"/>
  <c r="F157" i="3"/>
  <c r="F186" i="3"/>
  <c r="F195" i="3"/>
  <c r="F153" i="3"/>
  <c r="F259" i="3"/>
  <c r="F154" i="3"/>
  <c r="F159" i="3"/>
  <c r="F201" i="3"/>
  <c r="F148" i="3"/>
  <c r="C289" i="3"/>
  <c r="F226" i="3"/>
  <c r="F161" i="3"/>
  <c r="C291" i="3"/>
  <c r="F192" i="3"/>
  <c r="F151" i="3"/>
  <c r="F204" i="3"/>
  <c r="F196" i="3"/>
  <c r="C287" i="3"/>
  <c r="F175" i="3"/>
  <c r="F158" i="3"/>
  <c r="F207" i="3"/>
  <c r="F176" i="3"/>
  <c r="F177" i="3"/>
  <c r="F163" i="3"/>
  <c r="F185" i="3"/>
  <c r="F240" i="3"/>
  <c r="F206" i="3"/>
  <c r="F238" i="3"/>
  <c r="F231" i="3"/>
  <c r="F228" i="3"/>
  <c r="F183" i="3"/>
  <c r="F189" i="3"/>
  <c r="F224" i="3"/>
  <c r="F261" i="3"/>
  <c r="F174" i="3"/>
  <c r="F213" i="3"/>
  <c r="F230" i="3"/>
  <c r="F173" i="3"/>
  <c r="F227" i="3"/>
  <c r="F193" i="3"/>
  <c r="F218" i="3"/>
  <c r="F197" i="3"/>
  <c r="F254" i="3"/>
  <c r="F234" i="3"/>
  <c r="F265" i="3"/>
  <c r="F225" i="3"/>
  <c r="F219" i="3"/>
  <c r="F253" i="3"/>
  <c r="F188" i="3"/>
  <c r="F223" i="3"/>
  <c r="F156" i="3"/>
  <c r="F171" i="3"/>
  <c r="F258" i="3"/>
  <c r="F205" i="3"/>
  <c r="F220" i="3"/>
  <c r="F245" i="3"/>
  <c r="F243" i="3"/>
  <c r="F263" i="3"/>
  <c r="F248" i="3"/>
  <c r="F198" i="3"/>
  <c r="F178" i="3"/>
  <c r="F216" i="3"/>
  <c r="F229" i="3"/>
  <c r="F150" i="3"/>
  <c r="F236" i="3"/>
  <c r="F242" i="3"/>
  <c r="F166" i="3"/>
  <c r="F203" i="3"/>
  <c r="F266" i="3"/>
  <c r="F251" i="3"/>
  <c r="F250" i="3"/>
  <c r="F209" i="3"/>
  <c r="F211" i="3"/>
  <c r="F181" i="3"/>
  <c r="F257" i="3"/>
  <c r="F221" i="3"/>
  <c r="F202" i="3"/>
  <c r="F260" i="3"/>
  <c r="F182" i="3"/>
  <c r="F252" i="3"/>
  <c r="F191" i="3"/>
  <c r="F235" i="3"/>
  <c r="F200" i="3"/>
  <c r="F262" i="3"/>
  <c r="F190" i="3"/>
  <c r="F217" i="3"/>
  <c r="F187" i="3"/>
  <c r="F241" i="3"/>
  <c r="F199" i="3"/>
  <c r="F233" i="3"/>
  <c r="F179" i="3"/>
  <c r="F165" i="3"/>
  <c r="F247" i="3"/>
  <c r="F215" i="3"/>
  <c r="F210" i="3"/>
  <c r="F214" i="3"/>
  <c r="F246" i="3"/>
  <c r="F222" i="3"/>
  <c r="F264" i="3"/>
  <c r="F160" i="3"/>
  <c r="F256" i="3"/>
  <c r="B275" i="3" l="1"/>
  <c r="B143" i="3"/>
  <c r="B283" i="3" l="1"/>
  <c r="B289" i="3"/>
  <c r="B279" i="3"/>
  <c r="B287" i="3"/>
  <c r="B291" i="3"/>
  <c r="B281" i="3"/>
  <c r="AW293" i="3" l="1"/>
  <c r="AW294" i="3" s="1"/>
  <c r="AC293" i="3"/>
  <c r="AC294" i="3" s="1"/>
  <c r="I293" i="3"/>
  <c r="I294" i="3" s="1"/>
  <c r="AV293" i="3"/>
  <c r="AV294" i="3" s="1"/>
  <c r="AB293" i="3"/>
  <c r="AB294" i="3" s="1"/>
  <c r="H293" i="3"/>
  <c r="H294" i="3" s="1"/>
  <c r="AU293" i="3"/>
  <c r="AU294" i="3" s="1"/>
  <c r="AA293" i="3"/>
  <c r="AA294" i="3" s="1"/>
  <c r="G293" i="3"/>
  <c r="G294" i="3" s="1"/>
  <c r="AT293" i="3"/>
  <c r="AT294" i="3" s="1"/>
  <c r="Z293" i="3"/>
  <c r="Z294" i="3" s="1"/>
  <c r="F293" i="3"/>
  <c r="F294" i="3" s="1"/>
  <c r="AS293" i="3"/>
  <c r="AS294" i="3" s="1"/>
  <c r="Y293" i="3"/>
  <c r="Y294" i="3" s="1"/>
  <c r="E293" i="3"/>
  <c r="E294" i="3" s="1"/>
  <c r="AR293" i="3"/>
  <c r="AR294" i="3" s="1"/>
  <c r="X293" i="3"/>
  <c r="X294" i="3" s="1"/>
  <c r="D293" i="3"/>
  <c r="D294" i="3" s="1"/>
  <c r="AQ293" i="3"/>
  <c r="AQ294" i="3" s="1"/>
  <c r="W293" i="3"/>
  <c r="W294" i="3" s="1"/>
  <c r="C293" i="3"/>
  <c r="C294" i="3" s="1"/>
  <c r="BJ293" i="3"/>
  <c r="BJ294" i="3" s="1"/>
  <c r="AP293" i="3"/>
  <c r="AP294" i="3" s="1"/>
  <c r="V293" i="3"/>
  <c r="V294" i="3" s="1"/>
  <c r="B293" i="3"/>
  <c r="B294" i="3" s="1"/>
  <c r="BI293" i="3"/>
  <c r="BI294" i="3" s="1"/>
  <c r="AO293" i="3"/>
  <c r="AO294" i="3" s="1"/>
  <c r="U293" i="3"/>
  <c r="U294" i="3" s="1"/>
  <c r="BH293" i="3"/>
  <c r="BH294" i="3" s="1"/>
  <c r="AN293" i="3"/>
  <c r="AN294" i="3" s="1"/>
  <c r="T293" i="3"/>
  <c r="T294" i="3" s="1"/>
  <c r="BE293" i="3"/>
  <c r="BE294" i="3" s="1"/>
  <c r="AK293" i="3"/>
  <c r="AK294" i="3" s="1"/>
  <c r="Q293" i="3"/>
  <c r="Q294" i="3" s="1"/>
  <c r="BC293" i="3"/>
  <c r="BC294" i="3" s="1"/>
  <c r="AI293" i="3"/>
  <c r="AI294" i="3" s="1"/>
  <c r="O293" i="3"/>
  <c r="O294" i="3" s="1"/>
  <c r="BB293" i="3"/>
  <c r="BB294" i="3" s="1"/>
  <c r="AH293" i="3"/>
  <c r="AH294" i="3" s="1"/>
  <c r="N293" i="3"/>
  <c r="N294" i="3" s="1"/>
  <c r="BA293" i="3"/>
  <c r="BA294" i="3" s="1"/>
  <c r="AG293" i="3"/>
  <c r="AG294" i="3" s="1"/>
  <c r="M293" i="3"/>
  <c r="M294" i="3" s="1"/>
  <c r="AZ293" i="3"/>
  <c r="AZ294" i="3" s="1"/>
  <c r="AF293" i="3"/>
  <c r="AF294" i="3" s="1"/>
  <c r="L293" i="3"/>
  <c r="L294" i="3" s="1"/>
  <c r="AY293" i="3"/>
  <c r="AY294" i="3" s="1"/>
  <c r="AE293" i="3"/>
  <c r="AE294" i="3" s="1"/>
  <c r="K293" i="3"/>
  <c r="K294" i="3" s="1"/>
  <c r="AX293" i="3"/>
  <c r="AX294" i="3" s="1"/>
  <c r="AD293" i="3"/>
  <c r="AD294" i="3" s="1"/>
  <c r="J293" i="3"/>
  <c r="J294" i="3" s="1"/>
  <c r="AJ293" i="3"/>
  <c r="AJ294" i="3" s="1"/>
  <c r="S293" i="3"/>
  <c r="S294" i="3" s="1"/>
  <c r="R293" i="3"/>
  <c r="R294" i="3" s="1"/>
  <c r="P293" i="3"/>
  <c r="P294" i="3" s="1"/>
  <c r="BG293" i="3"/>
  <c r="BG294" i="3" s="1"/>
  <c r="BF293" i="3"/>
  <c r="BF294" i="3" s="1"/>
  <c r="BD293" i="3"/>
  <c r="BD294" i="3" s="1"/>
  <c r="AM293" i="3"/>
  <c r="AM294" i="3" s="1"/>
  <c r="AL293" i="3"/>
  <c r="AL294" i="3" s="1"/>
  <c r="AS285" i="3"/>
  <c r="AS286" i="3" s="1"/>
  <c r="Y285" i="3"/>
  <c r="Y286" i="3" s="1"/>
  <c r="E285" i="3"/>
  <c r="E286" i="3" s="1"/>
  <c r="AR285" i="3"/>
  <c r="AR286" i="3" s="1"/>
  <c r="X285" i="3"/>
  <c r="X286" i="3" s="1"/>
  <c r="D285" i="3"/>
  <c r="D286" i="3" s="1"/>
  <c r="AQ285" i="3"/>
  <c r="AQ286" i="3" s="1"/>
  <c r="W285" i="3"/>
  <c r="W286" i="3" s="1"/>
  <c r="C285" i="3"/>
  <c r="C286" i="3" s="1"/>
  <c r="BJ285" i="3"/>
  <c r="BJ286" i="3" s="1"/>
  <c r="AP285" i="3"/>
  <c r="AP286" i="3" s="1"/>
  <c r="V285" i="3"/>
  <c r="V286" i="3" s="1"/>
  <c r="B285" i="3"/>
  <c r="B286" i="3" s="1"/>
  <c r="BI285" i="3"/>
  <c r="BI286" i="3" s="1"/>
  <c r="AO285" i="3"/>
  <c r="AO286" i="3" s="1"/>
  <c r="U285" i="3"/>
  <c r="U286" i="3" s="1"/>
  <c r="BH285" i="3"/>
  <c r="BH286" i="3" s="1"/>
  <c r="AN285" i="3"/>
  <c r="AN286" i="3" s="1"/>
  <c r="T285" i="3"/>
  <c r="T286" i="3" s="1"/>
  <c r="BG285" i="3"/>
  <c r="BG286" i="3" s="1"/>
  <c r="AM285" i="3"/>
  <c r="AM286" i="3" s="1"/>
  <c r="S285" i="3"/>
  <c r="S286" i="3" s="1"/>
  <c r="BF285" i="3"/>
  <c r="BF286" i="3" s="1"/>
  <c r="AL285" i="3"/>
  <c r="AL286" i="3" s="1"/>
  <c r="R285" i="3"/>
  <c r="R286" i="3" s="1"/>
  <c r="BE285" i="3"/>
  <c r="BE286" i="3" s="1"/>
  <c r="AK285" i="3"/>
  <c r="AK286" i="3" s="1"/>
  <c r="Q285" i="3"/>
  <c r="Q286" i="3" s="1"/>
  <c r="BD285" i="3"/>
  <c r="BD286" i="3" s="1"/>
  <c r="AJ285" i="3"/>
  <c r="AJ286" i="3" s="1"/>
  <c r="P285" i="3"/>
  <c r="P286" i="3" s="1"/>
  <c r="BA285" i="3"/>
  <c r="BA286" i="3" s="1"/>
  <c r="AG285" i="3"/>
  <c r="AG286" i="3" s="1"/>
  <c r="M285" i="3"/>
  <c r="M286" i="3" s="1"/>
  <c r="AY285" i="3"/>
  <c r="AY286" i="3" s="1"/>
  <c r="AE285" i="3"/>
  <c r="AE286" i="3" s="1"/>
  <c r="K285" i="3"/>
  <c r="K286" i="3" s="1"/>
  <c r="AX285" i="3"/>
  <c r="AX286" i="3" s="1"/>
  <c r="AD285" i="3"/>
  <c r="AD286" i="3" s="1"/>
  <c r="J285" i="3"/>
  <c r="J286" i="3" s="1"/>
  <c r="AW285" i="3"/>
  <c r="AW286" i="3" s="1"/>
  <c r="AC285" i="3"/>
  <c r="AC286" i="3" s="1"/>
  <c r="I285" i="3"/>
  <c r="I286" i="3" s="1"/>
  <c r="AV285" i="3"/>
  <c r="AV286" i="3" s="1"/>
  <c r="AB285" i="3"/>
  <c r="AB286" i="3" s="1"/>
  <c r="H285" i="3"/>
  <c r="H286" i="3" s="1"/>
  <c r="AU285" i="3"/>
  <c r="AU286" i="3" s="1"/>
  <c r="AA285" i="3"/>
  <c r="AA286" i="3" s="1"/>
  <c r="G285" i="3"/>
  <c r="G286" i="3" s="1"/>
  <c r="AT285" i="3"/>
  <c r="AT286" i="3" s="1"/>
  <c r="Z285" i="3"/>
  <c r="Z286" i="3" s="1"/>
  <c r="F285" i="3"/>
  <c r="F286" i="3" s="1"/>
  <c r="BC285" i="3"/>
  <c r="BC286" i="3" s="1"/>
  <c r="BB285" i="3"/>
  <c r="BB286" i="3" s="1"/>
  <c r="AZ285" i="3"/>
  <c r="AZ286" i="3" s="1"/>
  <c r="AI285" i="3"/>
  <c r="AI286" i="3" s="1"/>
  <c r="AH285" i="3"/>
  <c r="AH286" i="3" s="1"/>
  <c r="AF285" i="3"/>
  <c r="AF286" i="3" s="1"/>
  <c r="O285" i="3"/>
  <c r="O286" i="3" s="1"/>
  <c r="N285" i="3"/>
  <c r="N286" i="3" s="1"/>
  <c r="L285" i="3"/>
  <c r="L286" i="3" s="1"/>
  <c r="B145" i="3" l="1"/>
  <c r="CQ2" i="3"/>
  <c r="AI2" i="3"/>
  <c r="AI2" i="2" s="1"/>
  <c r="CJ2" i="3"/>
  <c r="AB2" i="3"/>
  <c r="AB2" i="2" s="1"/>
  <c r="DI2" i="3"/>
  <c r="BA2" i="3"/>
  <c r="BA2" i="2" s="1"/>
  <c r="AR2" i="3"/>
  <c r="AR2" i="2" s="1"/>
  <c r="CZ2" i="3"/>
  <c r="BT2" i="3"/>
  <c r="L2" i="3"/>
  <c r="L2" i="2" s="1"/>
  <c r="CO2" i="3"/>
  <c r="AG2" i="3"/>
  <c r="AG2" i="2" s="1"/>
  <c r="CP2" i="3"/>
  <c r="AH2" i="3"/>
  <c r="AH2" i="2" s="1"/>
  <c r="BI2" i="3"/>
  <c r="BI2" i="2" s="1"/>
  <c r="DQ2" i="3"/>
  <c r="R2" i="3"/>
  <c r="R2" i="2" s="1"/>
  <c r="BZ2" i="3"/>
  <c r="BQ2" i="3"/>
  <c r="I2" i="3"/>
  <c r="I2" i="2" s="1"/>
  <c r="CF2" i="3"/>
  <c r="X2" i="3"/>
  <c r="X2" i="2" s="1"/>
  <c r="BL2" i="3"/>
  <c r="BL2" i="2" s="1"/>
  <c r="DT2" i="3"/>
  <c r="DA2" i="3"/>
  <c r="AS2" i="3"/>
  <c r="AS2" i="2" s="1"/>
  <c r="AQ2" i="3"/>
  <c r="AQ2" i="2" s="1"/>
  <c r="CY2" i="3"/>
  <c r="BK2" i="3"/>
  <c r="BK2" i="2" s="1"/>
  <c r="DS2" i="3"/>
  <c r="S2" i="3"/>
  <c r="S2" i="2" s="1"/>
  <c r="CA2" i="3"/>
  <c r="DE2" i="3"/>
  <c r="AW2" i="3"/>
  <c r="AW2" i="2" s="1"/>
  <c r="CU2" i="3"/>
  <c r="AM2" i="3"/>
  <c r="AM2" i="2" s="1"/>
  <c r="BM2" i="3"/>
  <c r="BM2" i="2" s="1"/>
  <c r="DU2" i="3"/>
  <c r="CS2" i="3"/>
  <c r="AK2" i="3"/>
  <c r="AK2" i="2" s="1"/>
  <c r="DO2" i="3"/>
  <c r="BG2" i="3"/>
  <c r="BG2" i="2" s="1"/>
  <c r="BN2" i="3"/>
  <c r="F2" i="3"/>
  <c r="F2" i="2" s="1"/>
  <c r="CN2" i="3"/>
  <c r="AF2" i="3"/>
  <c r="AF2" i="2" s="1"/>
  <c r="CT2" i="3"/>
  <c r="AL2" i="3"/>
  <c r="AL2" i="2" s="1"/>
  <c r="P2" i="3"/>
  <c r="P2" i="2" s="1"/>
  <c r="BX2" i="3"/>
  <c r="DL2" i="3"/>
  <c r="BD2" i="3"/>
  <c r="BD2" i="2" s="1"/>
  <c r="CL2" i="3"/>
  <c r="AD2" i="3"/>
  <c r="AD2" i="2" s="1"/>
  <c r="T2" i="3"/>
  <c r="T2" i="2" s="1"/>
  <c r="CB2" i="3"/>
  <c r="CH2" i="3"/>
  <c r="Z2" i="3"/>
  <c r="Z2" i="2" s="1"/>
  <c r="DM2" i="3"/>
  <c r="BE2" i="3"/>
  <c r="BE2" i="2" s="1"/>
  <c r="DN2" i="3"/>
  <c r="BF2" i="3"/>
  <c r="BF2" i="2" s="1"/>
  <c r="CG2" i="3"/>
  <c r="Y2" i="3"/>
  <c r="Y2" i="2" s="1"/>
  <c r="DF2" i="3"/>
  <c r="AX2" i="3"/>
  <c r="AX2" i="2" s="1"/>
  <c r="AN2" i="3"/>
  <c r="AN2" i="2" s="1"/>
  <c r="CV2" i="3"/>
  <c r="DB2" i="3"/>
  <c r="AT2" i="3"/>
  <c r="AT2" i="2" s="1"/>
  <c r="BP2" i="3"/>
  <c r="H2" i="3"/>
  <c r="H2" i="2" s="1"/>
  <c r="CE2" i="3"/>
  <c r="W2" i="3"/>
  <c r="W2" i="2" s="1"/>
  <c r="BV2" i="3"/>
  <c r="N2" i="3"/>
  <c r="N2" i="2" s="1"/>
  <c r="BC2" i="3"/>
  <c r="BC2" i="2" s="1"/>
  <c r="DK2" i="3"/>
  <c r="CR2" i="3"/>
  <c r="AJ2" i="3"/>
  <c r="AJ2" i="2" s="1"/>
  <c r="DP2" i="3"/>
  <c r="BH2" i="3"/>
  <c r="BH2" i="2" s="1"/>
  <c r="BO2" i="3"/>
  <c r="G2" i="3"/>
  <c r="G2" i="2" s="1"/>
  <c r="BS2" i="3"/>
  <c r="K2" i="3"/>
  <c r="K2" i="2" s="1"/>
  <c r="CC2" i="3"/>
  <c r="U2" i="3"/>
  <c r="U2" i="2" s="1"/>
  <c r="CD2" i="3"/>
  <c r="V2" i="3"/>
  <c r="V2" i="2" s="1"/>
  <c r="DJ2" i="3"/>
  <c r="BB2" i="3"/>
  <c r="BB2" i="2" s="1"/>
  <c r="CK2" i="3"/>
  <c r="AC2" i="3"/>
  <c r="AC2" i="2" s="1"/>
  <c r="BR2" i="3"/>
  <c r="J2" i="3"/>
  <c r="J2" i="2" s="1"/>
  <c r="AE2" i="3"/>
  <c r="AE2" i="2" s="1"/>
  <c r="CM2" i="3"/>
  <c r="CI2" i="3"/>
  <c r="AA2" i="3"/>
  <c r="AA2" i="2" s="1"/>
  <c r="DG2" i="3"/>
  <c r="AY2" i="3"/>
  <c r="AY2" i="2" s="1"/>
  <c r="AO2" i="3"/>
  <c r="AO2" i="2" s="1"/>
  <c r="CW2" i="3"/>
  <c r="DC2" i="3"/>
  <c r="AU2" i="3"/>
  <c r="AU2" i="2" s="1"/>
  <c r="BW2" i="3"/>
  <c r="O2" i="3"/>
  <c r="O2" i="2" s="1"/>
  <c r="DH2" i="3"/>
  <c r="AZ2" i="3"/>
  <c r="AZ2" i="2" s="1"/>
  <c r="AP2" i="3"/>
  <c r="AP2" i="2" s="1"/>
  <c r="CX2" i="3"/>
  <c r="DD2" i="3"/>
  <c r="AV2" i="3"/>
  <c r="AV2" i="2" s="1"/>
  <c r="Q2" i="3"/>
  <c r="Q2" i="2" s="1"/>
  <c r="BY2" i="3"/>
  <c r="BU2" i="3"/>
  <c r="M2" i="3"/>
  <c r="M2" i="2" s="1"/>
  <c r="DR2" i="3"/>
  <c r="BJ2" i="3"/>
  <c r="BJ2" i="2" s="1"/>
  <c r="BG127" i="3"/>
  <c r="I121" i="3"/>
  <c r="BD125" i="3"/>
  <c r="AB118" i="3"/>
  <c r="BK111" i="3"/>
  <c r="AJ124" i="3"/>
  <c r="AF117" i="3"/>
  <c r="BB125" i="3"/>
  <c r="BI129" i="3"/>
  <c r="AD123" i="3"/>
  <c r="BK127" i="3"/>
  <c r="P125" i="3"/>
  <c r="AE117" i="3"/>
  <c r="BF110" i="3"/>
  <c r="AH123" i="3"/>
  <c r="G116" i="3"/>
  <c r="BM107" i="3"/>
  <c r="AI128" i="3"/>
  <c r="BK119" i="3"/>
  <c r="I112" i="3"/>
  <c r="N129" i="3"/>
  <c r="BJ127" i="3"/>
  <c r="N126" i="3"/>
  <c r="BK117" i="3"/>
  <c r="T119" i="3"/>
  <c r="AO110" i="3"/>
  <c r="AX101" i="3"/>
  <c r="G126" i="3"/>
  <c r="BH115" i="3"/>
  <c r="AL125" i="3"/>
  <c r="H115" i="3"/>
  <c r="R106" i="3"/>
  <c r="AK99" i="3"/>
  <c r="K127" i="3"/>
  <c r="AD115" i="3"/>
  <c r="AK106" i="3"/>
  <c r="BB99" i="3"/>
  <c r="BF117" i="3"/>
  <c r="BI124" i="3"/>
  <c r="AH113" i="3"/>
  <c r="AO127" i="3"/>
  <c r="BM114" i="3"/>
  <c r="L106" i="3"/>
  <c r="AG126" i="3"/>
  <c r="AM114" i="3"/>
  <c r="AZ105" i="3"/>
  <c r="J99" i="3"/>
  <c r="AD122" i="3"/>
  <c r="AQ112" i="3"/>
  <c r="H104" i="3"/>
  <c r="BF125" i="3"/>
  <c r="AS128" i="3"/>
  <c r="BG116" i="3"/>
  <c r="AB107" i="3"/>
  <c r="BJ122" i="3"/>
  <c r="W113" i="3"/>
  <c r="AC123" i="3"/>
  <c r="V113" i="3"/>
  <c r="BD122" i="3"/>
  <c r="V118" i="3"/>
  <c r="BB101" i="3"/>
  <c r="T94" i="3"/>
  <c r="AL86" i="3"/>
  <c r="BA79" i="3"/>
  <c r="AN105" i="3"/>
  <c r="BG95" i="3"/>
  <c r="X89" i="3"/>
  <c r="AP81" i="3"/>
  <c r="Y108" i="3"/>
  <c r="AX112" i="3"/>
  <c r="V108" i="3"/>
  <c r="M97" i="3"/>
  <c r="P90" i="3"/>
  <c r="AH82" i="3"/>
  <c r="AQ107" i="3"/>
  <c r="BB96" i="3"/>
  <c r="O90" i="3"/>
  <c r="S114" i="3"/>
  <c r="AD100" i="3"/>
  <c r="S93" i="3"/>
  <c r="AA105" i="3"/>
  <c r="AC96" i="3"/>
  <c r="BJ105" i="3"/>
  <c r="AX96" i="3"/>
  <c r="L90" i="3"/>
  <c r="Z106" i="3"/>
  <c r="AW96" i="3"/>
  <c r="Y106" i="3"/>
  <c r="AQ117" i="3"/>
  <c r="AB102" i="3"/>
  <c r="AC107" i="3"/>
  <c r="G98" i="3"/>
  <c r="Q112" i="3"/>
  <c r="BJ99" i="3"/>
  <c r="BJ91" i="3"/>
  <c r="AW105" i="3"/>
  <c r="V96" i="3"/>
  <c r="AW114" i="3"/>
  <c r="AP100" i="3"/>
  <c r="AO129" i="3"/>
  <c r="K105" i="3"/>
  <c r="AQ104" i="3"/>
  <c r="J86" i="3"/>
  <c r="Y78" i="3"/>
  <c r="AM127" i="3"/>
  <c r="S127" i="3"/>
  <c r="AH120" i="3"/>
  <c r="N125" i="3"/>
  <c r="BA117" i="3"/>
  <c r="W111" i="3"/>
  <c r="BF123" i="3"/>
  <c r="BE116" i="3"/>
  <c r="L125" i="3"/>
  <c r="S129" i="3"/>
  <c r="BA122" i="3"/>
  <c r="U127" i="3"/>
  <c r="Y124" i="3"/>
  <c r="AZ116" i="3"/>
  <c r="P110" i="3"/>
  <c r="AV122" i="3"/>
  <c r="AB115" i="3"/>
  <c r="Y107" i="3"/>
  <c r="AS127" i="3"/>
  <c r="K119" i="3"/>
  <c r="AF111" i="3"/>
  <c r="M129" i="3"/>
  <c r="AT126" i="3"/>
  <c r="X125" i="3"/>
  <c r="S117" i="3"/>
  <c r="AC118" i="3"/>
  <c r="AU108" i="3"/>
  <c r="J101" i="3"/>
  <c r="AF124" i="3"/>
  <c r="J115" i="3"/>
  <c r="BB123" i="3"/>
  <c r="U114" i="3"/>
  <c r="AM105" i="3"/>
  <c r="BJ98" i="3"/>
  <c r="AF125" i="3"/>
  <c r="R114" i="3"/>
  <c r="BF105" i="3"/>
  <c r="N99" i="3"/>
  <c r="AO116" i="3"/>
  <c r="AS123" i="3"/>
  <c r="W112" i="3"/>
  <c r="BL125" i="3"/>
  <c r="O114" i="3"/>
  <c r="AE105" i="3"/>
  <c r="V125" i="3"/>
  <c r="BD113" i="3"/>
  <c r="H105" i="3"/>
  <c r="AI98" i="3"/>
  <c r="AB121" i="3"/>
  <c r="BG111" i="3"/>
  <c r="AE103" i="3"/>
  <c r="AU124" i="3"/>
  <c r="BI126" i="3"/>
  <c r="AR115" i="3"/>
  <c r="AA106" i="3"/>
  <c r="BC121" i="3"/>
  <c r="AN112" i="3"/>
  <c r="Z122" i="3"/>
  <c r="AM112" i="3"/>
  <c r="BA121" i="3"/>
  <c r="P116" i="3"/>
  <c r="BL126" i="3"/>
  <c r="N120" i="3"/>
  <c r="BF124" i="3"/>
  <c r="AG117" i="3"/>
  <c r="AV110" i="3"/>
  <c r="AK123" i="3"/>
  <c r="AK116" i="3"/>
  <c r="BD124" i="3"/>
  <c r="BH129" i="3"/>
  <c r="AF122" i="3"/>
  <c r="BM126" i="3"/>
  <c r="BL123" i="3"/>
  <c r="AD116" i="3"/>
  <c r="BI108" i="3"/>
  <c r="V122" i="3"/>
  <c r="AY114" i="3"/>
  <c r="AX106" i="3"/>
  <c r="P127" i="3"/>
  <c r="BC118" i="3"/>
  <c r="K111" i="3"/>
  <c r="BC128" i="3"/>
  <c r="Q126" i="3"/>
  <c r="BM124" i="3"/>
  <c r="AZ129" i="3"/>
  <c r="AM117" i="3"/>
  <c r="X108" i="3"/>
  <c r="BC100" i="3"/>
  <c r="BD123" i="3"/>
  <c r="BA114" i="3"/>
  <c r="R123" i="3"/>
  <c r="BK113" i="3"/>
  <c r="Q105" i="3"/>
  <c r="AP98" i="3"/>
  <c r="BK124" i="3"/>
  <c r="BH113" i="3"/>
  <c r="AJ105" i="3"/>
  <c r="AH129" i="3"/>
  <c r="N116" i="3"/>
  <c r="AK122" i="3"/>
  <c r="BL111" i="3"/>
  <c r="W125" i="3"/>
  <c r="BE113" i="3"/>
  <c r="I105" i="3"/>
  <c r="BG124" i="3"/>
  <c r="AE113" i="3"/>
  <c r="AZ104" i="3"/>
  <c r="O98" i="3"/>
  <c r="BJ120" i="3"/>
  <c r="AI111" i="3"/>
  <c r="J103" i="3"/>
  <c r="H124" i="3"/>
  <c r="T126" i="3"/>
  <c r="Q115" i="3"/>
  <c r="AV105" i="3"/>
  <c r="Y121" i="3"/>
  <c r="O112" i="3"/>
  <c r="BB121" i="3"/>
  <c r="N112" i="3"/>
  <c r="W121" i="3"/>
  <c r="T115" i="3"/>
  <c r="AL100" i="3"/>
  <c r="Y93" i="3"/>
  <c r="AQ85" i="3"/>
  <c r="AV125" i="3"/>
  <c r="AR102" i="3"/>
  <c r="BH94" i="3"/>
  <c r="L87" i="3"/>
  <c r="AA80" i="3"/>
  <c r="AP106" i="3"/>
  <c r="W108" i="3"/>
  <c r="AM106" i="3"/>
  <c r="K96" i="3"/>
  <c r="U89" i="3"/>
  <c r="AM81" i="3"/>
  <c r="BM104" i="3"/>
  <c r="BB95" i="3"/>
  <c r="T89" i="3"/>
  <c r="AX111" i="3"/>
  <c r="BH98" i="3"/>
  <c r="X92" i="3"/>
  <c r="BJ103" i="3"/>
  <c r="BB126" i="3"/>
  <c r="Z104" i="3"/>
  <c r="AY95" i="3"/>
  <c r="Q89" i="3"/>
  <c r="BF104" i="3"/>
  <c r="M128" i="3"/>
  <c r="BE104" i="3"/>
  <c r="BK114" i="3"/>
  <c r="AX100" i="3"/>
  <c r="BD105" i="3"/>
  <c r="AT96" i="3"/>
  <c r="AT108" i="3"/>
  <c r="AZ98" i="3"/>
  <c r="AN124" i="3"/>
  <c r="R104" i="3"/>
  <c r="AL124" i="3"/>
  <c r="Y111" i="3"/>
  <c r="AF99" i="3"/>
  <c r="AY121" i="3"/>
  <c r="AT103" i="3"/>
  <c r="BL98" i="3"/>
  <c r="AP84" i="3"/>
  <c r="J77" i="3"/>
  <c r="AR126" i="3"/>
  <c r="BG119" i="3"/>
  <c r="AK124" i="3"/>
  <c r="M117" i="3"/>
  <c r="AB110" i="3"/>
  <c r="P123" i="3"/>
  <c r="Q116" i="3"/>
  <c r="AI124" i="3"/>
  <c r="AM129" i="3"/>
  <c r="K122" i="3"/>
  <c r="AQ126" i="3"/>
  <c r="AI123" i="3"/>
  <c r="H116" i="3"/>
  <c r="AO108" i="3"/>
  <c r="BH121" i="3"/>
  <c r="AC114" i="3"/>
  <c r="AD106" i="3"/>
  <c r="BD126" i="3"/>
  <c r="AF118" i="3"/>
  <c r="BD110" i="3"/>
  <c r="Y128" i="3"/>
  <c r="BG125" i="3"/>
  <c r="AM124" i="3"/>
  <c r="AG128" i="3"/>
  <c r="K117" i="3"/>
  <c r="AP107" i="3"/>
  <c r="AI100" i="3"/>
  <c r="U123" i="3"/>
  <c r="W114" i="3"/>
  <c r="AT122" i="3"/>
  <c r="AM113" i="3"/>
  <c r="BG104" i="3"/>
  <c r="V98" i="3"/>
  <c r="V124" i="3"/>
  <c r="AJ113" i="3"/>
  <c r="L105" i="3"/>
  <c r="BG128" i="3"/>
  <c r="BB115" i="3"/>
  <c r="AK121" i="3"/>
  <c r="AM111" i="3"/>
  <c r="BH124" i="3"/>
  <c r="AF113" i="3"/>
  <c r="BA104" i="3"/>
  <c r="R124" i="3"/>
  <c r="AS112" i="3"/>
  <c r="AE104" i="3"/>
  <c r="BH97" i="3"/>
  <c r="AD120" i="3"/>
  <c r="H111" i="3"/>
  <c r="BC102" i="3"/>
  <c r="AN123" i="3"/>
  <c r="BE125" i="3"/>
  <c r="BH114" i="3"/>
  <c r="Z105" i="3"/>
  <c r="BE120" i="3"/>
  <c r="BD111" i="3"/>
  <c r="X121" i="3"/>
  <c r="AZ111" i="3"/>
  <c r="BC120" i="3"/>
  <c r="AJ114" i="3"/>
  <c r="K100" i="3"/>
  <c r="AX92" i="3"/>
  <c r="W85" i="3"/>
  <c r="BB122" i="3"/>
  <c r="L102" i="3"/>
  <c r="AM94" i="3"/>
  <c r="BE86" i="3"/>
  <c r="G80" i="3"/>
  <c r="AL105" i="3"/>
  <c r="AU107" i="3"/>
  <c r="AG105" i="3"/>
  <c r="BC95" i="3"/>
  <c r="AW87" i="3"/>
  <c r="S81" i="3"/>
  <c r="AG104" i="3"/>
  <c r="AG95" i="3"/>
  <c r="AV87" i="3"/>
  <c r="S110" i="3"/>
  <c r="AK98" i="3"/>
  <c r="AM128" i="3"/>
  <c r="AB103" i="3"/>
  <c r="AW123" i="3"/>
  <c r="BH103" i="3"/>
  <c r="AD95" i="3"/>
  <c r="W128" i="3"/>
  <c r="Y104" i="3"/>
  <c r="AM126" i="3"/>
  <c r="X104" i="3"/>
  <c r="N113" i="3"/>
  <c r="V100" i="3"/>
  <c r="U105" i="3"/>
  <c r="X96" i="3"/>
  <c r="AA107" i="3"/>
  <c r="AC98" i="3"/>
  <c r="M123" i="3"/>
  <c r="AW103" i="3"/>
  <c r="AT120" i="3"/>
  <c r="AQ110" i="3"/>
  <c r="G99" i="3"/>
  <c r="AN120" i="3"/>
  <c r="N103" i="3"/>
  <c r="S96" i="3"/>
  <c r="R84" i="3"/>
  <c r="BC76" i="3"/>
  <c r="Y70" i="3"/>
  <c r="P104" i="3"/>
  <c r="I86" i="3"/>
  <c r="X78" i="3"/>
  <c r="BB98" i="3"/>
  <c r="AW85" i="3"/>
  <c r="AB77" i="3"/>
  <c r="BK70" i="3"/>
  <c r="BJ97" i="3"/>
  <c r="AV85" i="3"/>
  <c r="BL94" i="3"/>
  <c r="BG107" i="3"/>
  <c r="AF89" i="3"/>
  <c r="R93" i="3"/>
  <c r="X126" i="3"/>
  <c r="AM119" i="3"/>
  <c r="P124" i="3"/>
  <c r="BF116" i="3"/>
  <c r="H110" i="3"/>
  <c r="BH122" i="3"/>
  <c r="BJ115" i="3"/>
  <c r="M124" i="3"/>
  <c r="R129" i="3"/>
  <c r="BD121" i="3"/>
  <c r="V126" i="3"/>
  <c r="J123" i="3"/>
  <c r="AY115" i="3"/>
  <c r="U108" i="3"/>
  <c r="AH121" i="3"/>
  <c r="AX113" i="3"/>
  <c r="J106" i="3"/>
  <c r="AA126" i="3"/>
  <c r="J118" i="3"/>
  <c r="AI110" i="3"/>
  <c r="BM127" i="3"/>
  <c r="AD125" i="3"/>
  <c r="I124" i="3"/>
  <c r="BH127" i="3"/>
  <c r="AV116" i="3"/>
  <c r="T107" i="3"/>
  <c r="O100" i="3"/>
  <c r="AY122" i="3"/>
  <c r="BM113" i="3"/>
  <c r="L122" i="3"/>
  <c r="O113" i="3"/>
  <c r="AL104" i="3"/>
  <c r="AU97" i="3"/>
  <c r="AV123" i="3"/>
  <c r="K113" i="3"/>
  <c r="BD104" i="3"/>
  <c r="R128" i="3"/>
  <c r="Z115" i="3"/>
  <c r="AJ120" i="3"/>
  <c r="O111" i="3"/>
  <c r="S124" i="3"/>
  <c r="AT112" i="3"/>
  <c r="AF104" i="3"/>
  <c r="AQ123" i="3"/>
  <c r="U112" i="3"/>
  <c r="J104" i="3"/>
  <c r="AN97" i="3"/>
  <c r="AF119" i="3"/>
  <c r="AX110" i="3"/>
  <c r="AH102" i="3"/>
  <c r="AC122" i="3"/>
  <c r="R125" i="3"/>
  <c r="AI114" i="3"/>
  <c r="AV104" i="3"/>
  <c r="AA120" i="3"/>
  <c r="AC111" i="3"/>
  <c r="BD120" i="3"/>
  <c r="AB111" i="3"/>
  <c r="BD129" i="3"/>
  <c r="AR113" i="3"/>
  <c r="AZ99" i="3"/>
  <c r="AD92" i="3"/>
  <c r="AV84" i="3"/>
  <c r="AD121" i="3"/>
  <c r="BA101" i="3"/>
  <c r="S94" i="3"/>
  <c r="AK86" i="3"/>
  <c r="AZ79" i="3"/>
  <c r="AK104" i="3"/>
  <c r="I107" i="3"/>
  <c r="AH104" i="3"/>
  <c r="AH95" i="3"/>
  <c r="AC87" i="3"/>
  <c r="BL80" i="3"/>
  <c r="AF103" i="3"/>
  <c r="L95" i="3"/>
  <c r="AB87" i="3"/>
  <c r="BM108" i="3"/>
  <c r="M98" i="3"/>
  <c r="BA123" i="3"/>
  <c r="BM102" i="3"/>
  <c r="M122" i="3"/>
  <c r="AA103" i="3"/>
  <c r="I95" i="3"/>
  <c r="AP126" i="3"/>
  <c r="BG103" i="3"/>
  <c r="AA123" i="3"/>
  <c r="BE103" i="3"/>
  <c r="Z112" i="3"/>
  <c r="Z126" i="3"/>
  <c r="BB104" i="3"/>
  <c r="AU95" i="3"/>
  <c r="BH106" i="3"/>
  <c r="AW97" i="3"/>
  <c r="AZ120" i="3"/>
  <c r="R103" i="3"/>
  <c r="AR119" i="3"/>
  <c r="AP108" i="3"/>
  <c r="AW98" i="3"/>
  <c r="AA119" i="3"/>
  <c r="AW102" i="3"/>
  <c r="AP95" i="3"/>
  <c r="BI83" i="3"/>
  <c r="AI76" i="3"/>
  <c r="AX69" i="3"/>
  <c r="AV102" i="3"/>
  <c r="AX85" i="3"/>
  <c r="AW77" i="3"/>
  <c r="BM97" i="3"/>
  <c r="Y85" i="3"/>
  <c r="H77" i="3"/>
  <c r="AQ70" i="3"/>
  <c r="N96" i="3"/>
  <c r="X85" i="3"/>
  <c r="Y94" i="3"/>
  <c r="Q102" i="3"/>
  <c r="G89" i="3"/>
  <c r="BD92" i="3"/>
  <c r="AU82" i="3"/>
  <c r="AG75" i="3"/>
  <c r="AV68" i="3"/>
  <c r="AJ91" i="3"/>
  <c r="AN81" i="3"/>
  <c r="BE74" i="3"/>
  <c r="G68" i="3"/>
  <c r="AR90" i="3"/>
  <c r="AW125" i="3"/>
  <c r="S119" i="3"/>
  <c r="BH123" i="3"/>
  <c r="AL116" i="3"/>
  <c r="AT129" i="3"/>
  <c r="AM122" i="3"/>
  <c r="AP115" i="3"/>
  <c r="BE123" i="3"/>
  <c r="BJ128" i="3"/>
  <c r="AI121" i="3"/>
  <c r="AT125" i="3"/>
  <c r="AW122" i="3"/>
  <c r="AC115" i="3"/>
  <c r="BB129" i="3"/>
  <c r="H121" i="3"/>
  <c r="AC113" i="3"/>
  <c r="BC105" i="3"/>
  <c r="AN125" i="3"/>
  <c r="AY117" i="3"/>
  <c r="N110" i="3"/>
  <c r="AJ127" i="3"/>
  <c r="AP124" i="3"/>
  <c r="AU123" i="3"/>
  <c r="W127" i="3"/>
  <c r="W116" i="3"/>
  <c r="BM106" i="3"/>
  <c r="BH99" i="3"/>
  <c r="N122" i="3"/>
  <c r="AO113" i="3"/>
  <c r="AS121" i="3"/>
  <c r="BC112" i="3"/>
  <c r="Q104" i="3"/>
  <c r="AA97" i="3"/>
  <c r="L123" i="3"/>
  <c r="AW112" i="3"/>
  <c r="AI104" i="3"/>
  <c r="AV127" i="3"/>
  <c r="AP114" i="3"/>
  <c r="AO119" i="3"/>
  <c r="BB110" i="3"/>
  <c r="AR123" i="3"/>
  <c r="V112" i="3"/>
  <c r="K104" i="3"/>
  <c r="AH122" i="3"/>
  <c r="BI111" i="3"/>
  <c r="BB103" i="3"/>
  <c r="T97" i="3"/>
  <c r="AN118" i="3"/>
  <c r="Y110" i="3"/>
  <c r="M102" i="3"/>
  <c r="BF121" i="3"/>
  <c r="AT124" i="3"/>
  <c r="J114" i="3"/>
  <c r="AA104" i="3"/>
  <c r="BF119" i="3"/>
  <c r="AT110" i="3"/>
  <c r="Z120" i="3"/>
  <c r="AS110" i="3"/>
  <c r="G129" i="3"/>
  <c r="BH112" i="3"/>
  <c r="AA99" i="3"/>
  <c r="J92" i="3"/>
  <c r="AB84" i="3"/>
  <c r="Q120" i="3"/>
  <c r="Y101" i="3"/>
  <c r="BL93" i="3"/>
  <c r="Q86" i="3"/>
  <c r="AF79" i="3"/>
  <c r="AL103" i="3"/>
  <c r="AO106" i="3"/>
  <c r="AI103" i="3"/>
  <c r="M95" i="3"/>
  <c r="I87" i="3"/>
  <c r="AR80" i="3"/>
  <c r="AL102" i="3"/>
  <c r="BD94" i="3"/>
  <c r="H87" i="3"/>
  <c r="P108" i="3"/>
  <c r="BE97" i="3"/>
  <c r="P122" i="3"/>
  <c r="AG102" i="3"/>
  <c r="BJ118" i="3"/>
  <c r="BK102" i="3"/>
  <c r="BA94" i="3"/>
  <c r="AP123" i="3"/>
  <c r="Z103" i="3"/>
  <c r="H122" i="3"/>
  <c r="X103" i="3"/>
  <c r="AN111" i="3"/>
  <c r="BL124" i="3"/>
  <c r="V104" i="3"/>
  <c r="Z95" i="3"/>
  <c r="V106" i="3"/>
  <c r="Y97" i="3"/>
  <c r="AV119" i="3"/>
  <c r="BA102" i="3"/>
  <c r="AI118" i="3"/>
  <c r="BJ107" i="3"/>
  <c r="Z98" i="3"/>
  <c r="AD118" i="3"/>
  <c r="T102" i="3"/>
  <c r="AG94" i="3"/>
  <c r="AL83" i="3"/>
  <c r="O76" i="3"/>
  <c r="AD69" i="3"/>
  <c r="BL99" i="3"/>
  <c r="Z85" i="3"/>
  <c r="AC77" i="3"/>
  <c r="Q96" i="3"/>
  <c r="AN84" i="3"/>
  <c r="BA76" i="3"/>
  <c r="W70" i="3"/>
  <c r="AJ95" i="3"/>
  <c r="K124" i="3"/>
  <c r="BC93" i="3"/>
  <c r="BH100" i="3"/>
  <c r="BK87" i="3"/>
  <c r="AA92" i="3"/>
  <c r="X82" i="3"/>
  <c r="M75" i="3"/>
  <c r="AB68" i="3"/>
  <c r="AS90" i="3"/>
  <c r="P81" i="3"/>
  <c r="AC125" i="3"/>
  <c r="BL118" i="3"/>
  <c r="AL123" i="3"/>
  <c r="R116" i="3"/>
  <c r="Y129" i="3"/>
  <c r="R122" i="3"/>
  <c r="V115" i="3"/>
  <c r="AJ123" i="3"/>
  <c r="AO128" i="3"/>
  <c r="N121" i="3"/>
  <c r="Y125" i="3"/>
  <c r="W122" i="3"/>
  <c r="G115" i="3"/>
  <c r="W129" i="3"/>
  <c r="AW120" i="3"/>
  <c r="H113" i="3"/>
  <c r="AI105" i="3"/>
  <c r="K125" i="3"/>
  <c r="AC117" i="3"/>
  <c r="BG108" i="3"/>
  <c r="J127" i="3"/>
  <c r="L124" i="3"/>
  <c r="V123" i="3"/>
  <c r="AW126" i="3"/>
  <c r="BI115" i="3"/>
  <c r="AQ106" i="3"/>
  <c r="AN99" i="3"/>
  <c r="AV121" i="3"/>
  <c r="Q113" i="3"/>
  <c r="L121" i="3"/>
  <c r="AB112" i="3"/>
  <c r="BI103" i="3"/>
  <c r="G97" i="3"/>
  <c r="AP122" i="3"/>
  <c r="Y112" i="3"/>
  <c r="N104" i="3"/>
  <c r="AJ126" i="3"/>
  <c r="Q114" i="3"/>
  <c r="G119" i="3"/>
  <c r="AD110" i="3"/>
  <c r="AI122" i="3"/>
  <c r="BJ111" i="3"/>
  <c r="BC103" i="3"/>
  <c r="AE121" i="3"/>
  <c r="AK111" i="3"/>
  <c r="AG103" i="3"/>
  <c r="BM96" i="3"/>
  <c r="N118" i="3"/>
  <c r="BC108" i="3"/>
  <c r="BF101" i="3"/>
  <c r="AA121" i="3"/>
  <c r="AF123" i="3"/>
  <c r="AV113" i="3"/>
  <c r="AX103" i="3"/>
  <c r="AC119" i="3"/>
  <c r="V110" i="3"/>
  <c r="BE119" i="3"/>
  <c r="U110" i="3"/>
  <c r="AL128" i="3"/>
  <c r="P111" i="3"/>
  <c r="AR98" i="3"/>
  <c r="BC91" i="3"/>
  <c r="H84" i="3"/>
  <c r="N119" i="3"/>
  <c r="BJ100" i="3"/>
  <c r="AR93" i="3"/>
  <c r="BJ85" i="3"/>
  <c r="L127" i="3"/>
  <c r="AP102" i="3"/>
  <c r="AK105" i="3"/>
  <c r="AM102" i="3"/>
  <c r="BE94" i="3"/>
  <c r="BB86" i="3"/>
  <c r="X80" i="3"/>
  <c r="H102" i="3"/>
  <c r="AI94" i="3"/>
  <c r="BA86" i="3"/>
  <c r="AO107" i="3"/>
  <c r="AH97" i="3"/>
  <c r="BL117" i="3"/>
  <c r="AS101" i="3"/>
  <c r="BI117" i="3"/>
  <c r="AF102" i="3"/>
  <c r="AF94" i="3"/>
  <c r="I122" i="3"/>
  <c r="BJ102" i="3"/>
  <c r="BD119" i="3"/>
  <c r="BH102" i="3"/>
  <c r="BH110" i="3"/>
  <c r="T123" i="3"/>
  <c r="BA103" i="3"/>
  <c r="AW94" i="3"/>
  <c r="AY105" i="3"/>
  <c r="AR96" i="3"/>
  <c r="AO118" i="3"/>
  <c r="X102" i="3"/>
  <c r="AI117" i="3"/>
  <c r="V107" i="3"/>
  <c r="AS97" i="3"/>
  <c r="W117" i="3"/>
  <c r="BE101" i="3"/>
  <c r="AE93" i="3"/>
  <c r="O83" i="3"/>
  <c r="BH75" i="3"/>
  <c r="J69" i="3"/>
  <c r="BD98" i="3"/>
  <c r="AO84" i="3"/>
  <c r="I77" i="3"/>
  <c r="AN95" i="3"/>
  <c r="P84" i="3"/>
  <c r="AG76" i="3"/>
  <c r="AV69" i="3"/>
  <c r="AC94" i="3"/>
  <c r="W102" i="3"/>
  <c r="W93" i="3"/>
  <c r="AV99" i="3"/>
  <c r="AM87" i="3"/>
  <c r="BL91" i="3"/>
  <c r="AO81" i="3"/>
  <c r="BF74" i="3"/>
  <c r="H68" i="3"/>
  <c r="R90" i="3"/>
  <c r="BH80" i="3"/>
  <c r="Q74" i="3"/>
  <c r="BC114" i="3"/>
  <c r="BB89" i="3"/>
  <c r="I125" i="3"/>
  <c r="AR118" i="3"/>
  <c r="Q123" i="3"/>
  <c r="BK115" i="3"/>
  <c r="AV128" i="3"/>
  <c r="BK121" i="3"/>
  <c r="AU114" i="3"/>
  <c r="O123" i="3"/>
  <c r="T128" i="3"/>
  <c r="BF120" i="3"/>
  <c r="AV124" i="3"/>
  <c r="BI121" i="3"/>
  <c r="AZ114" i="3"/>
  <c r="BL128" i="3"/>
  <c r="U120" i="3"/>
  <c r="AZ112" i="3"/>
  <c r="O105" i="3"/>
  <c r="AY124" i="3"/>
  <c r="G117" i="3"/>
  <c r="AM108" i="3"/>
  <c r="AU126" i="3"/>
  <c r="AX123" i="3"/>
  <c r="BF122" i="3"/>
  <c r="H126" i="3"/>
  <c r="AJ115" i="3"/>
  <c r="U106" i="3"/>
  <c r="T99" i="3"/>
  <c r="O121" i="3"/>
  <c r="BE112" i="3"/>
  <c r="AP120" i="3"/>
  <c r="AS111" i="3"/>
  <c r="AN103" i="3"/>
  <c r="AZ96" i="3"/>
  <c r="AM121" i="3"/>
  <c r="AO111" i="3"/>
  <c r="BF103" i="3"/>
  <c r="AB125" i="3"/>
  <c r="BG113" i="3"/>
  <c r="AT118" i="3"/>
  <c r="BJ108" i="3"/>
  <c r="AF121" i="3"/>
  <c r="AL111" i="3"/>
  <c r="AH103" i="3"/>
  <c r="AF120" i="3"/>
  <c r="J111" i="3"/>
  <c r="L103" i="3"/>
  <c r="AS96" i="3"/>
  <c r="AV117" i="3"/>
  <c r="AF108" i="3"/>
  <c r="AL101" i="3"/>
  <c r="BI120" i="3"/>
  <c r="BK122" i="3"/>
  <c r="X113" i="3"/>
  <c r="AC103" i="3"/>
  <c r="BM118" i="3"/>
  <c r="AZ108" i="3"/>
  <c r="AB119" i="3"/>
  <c r="AY108" i="3"/>
  <c r="BI127" i="3"/>
  <c r="AH110" i="3"/>
  <c r="T98" i="3"/>
  <c r="AI91" i="3"/>
  <c r="BA83" i="3"/>
  <c r="O118" i="3"/>
  <c r="AK100" i="3"/>
  <c r="X93" i="3"/>
  <c r="AP85" i="3"/>
  <c r="AM125" i="3"/>
  <c r="K102" i="3"/>
  <c r="AJ104" i="3"/>
  <c r="I102" i="3"/>
  <c r="AJ94" i="3"/>
  <c r="AH86" i="3"/>
  <c r="AW79" i="3"/>
  <c r="AV101" i="3"/>
  <c r="O94" i="3"/>
  <c r="AG86" i="3"/>
  <c r="AJ106" i="3"/>
  <c r="K97" i="3"/>
  <c r="BJ116" i="3"/>
  <c r="O101" i="3"/>
  <c r="BB116" i="3"/>
  <c r="AQ101" i="3"/>
  <c r="L94" i="3"/>
  <c r="BI118" i="3"/>
  <c r="AE102" i="3"/>
  <c r="BH118" i="3"/>
  <c r="AC102" i="3"/>
  <c r="I110" i="3"/>
  <c r="BK120" i="3"/>
  <c r="U103" i="3"/>
  <c r="AB94" i="3"/>
  <c r="S105" i="3"/>
  <c r="W96" i="3"/>
  <c r="AK117" i="3"/>
  <c r="BK101" i="3"/>
  <c r="Z116" i="3"/>
  <c r="AZ106" i="3"/>
  <c r="V97" i="3"/>
  <c r="X116" i="3"/>
  <c r="AE101" i="3"/>
  <c r="AJ92" i="3"/>
  <c r="BC82" i="3"/>
  <c r="AN75" i="3"/>
  <c r="BC68" i="3"/>
  <c r="R96" i="3"/>
  <c r="Q84" i="3"/>
  <c r="BB76" i="3"/>
  <c r="AD94" i="3"/>
  <c r="BG83" i="3"/>
  <c r="M76" i="3"/>
  <c r="AB69" i="3"/>
  <c r="BF93" i="3"/>
  <c r="BA99" i="3"/>
  <c r="BG92" i="3"/>
  <c r="AO98" i="3"/>
  <c r="O87" i="3"/>
  <c r="AK91" i="3"/>
  <c r="Q81" i="3"/>
  <c r="AL74" i="3"/>
  <c r="S120" i="3"/>
  <c r="BC89" i="3"/>
  <c r="AK80" i="3"/>
  <c r="BJ73" i="3"/>
  <c r="S107" i="3"/>
  <c r="AC89" i="3"/>
  <c r="AF91" i="3"/>
  <c r="AK81" i="3"/>
  <c r="M90" i="3"/>
  <c r="BF91" i="3"/>
  <c r="BF81" i="3"/>
  <c r="H75" i="3"/>
  <c r="J93" i="3"/>
  <c r="V83" i="3"/>
  <c r="Q98" i="3"/>
  <c r="AR86" i="3"/>
  <c r="AE78" i="3"/>
  <c r="S97" i="3"/>
  <c r="BD85" i="3"/>
  <c r="BC77" i="3"/>
  <c r="BJ90" i="3"/>
  <c r="AQ108" i="3"/>
  <c r="AO86" i="3"/>
  <c r="T85" i="3"/>
  <c r="AE71" i="3"/>
  <c r="N62" i="3"/>
  <c r="AC55" i="3"/>
  <c r="BL48" i="3"/>
  <c r="Q41" i="3"/>
  <c r="AC78" i="3"/>
  <c r="AE68" i="3"/>
  <c r="AV59" i="3"/>
  <c r="R53" i="3"/>
  <c r="AJ45" i="3"/>
  <c r="BE90" i="3"/>
  <c r="X73" i="3"/>
  <c r="AR64" i="3"/>
  <c r="BE57" i="3"/>
  <c r="BB124" i="3"/>
  <c r="AU129" i="3"/>
  <c r="BI122" i="3"/>
  <c r="AQ115" i="3"/>
  <c r="AA128" i="3"/>
  <c r="AP121" i="3"/>
  <c r="AA114" i="3"/>
  <c r="BG122" i="3"/>
  <c r="BL127" i="3"/>
  <c r="AK120" i="3"/>
  <c r="AA124" i="3"/>
  <c r="AJ121" i="3"/>
  <c r="AD114" i="3"/>
  <c r="AJ128" i="3"/>
  <c r="BL119" i="3"/>
  <c r="AE112" i="3"/>
  <c r="BH104" i="3"/>
  <c r="W124" i="3"/>
  <c r="AX116" i="3"/>
  <c r="S108" i="3"/>
  <c r="R126" i="3"/>
  <c r="Y123" i="3"/>
  <c r="AG122" i="3"/>
  <c r="AR125" i="3"/>
  <c r="K115" i="3"/>
  <c r="BL105" i="3"/>
  <c r="BM98" i="3"/>
  <c r="AU120" i="3"/>
  <c r="AG112" i="3"/>
  <c r="K120" i="3"/>
  <c r="T111" i="3"/>
  <c r="S103" i="3"/>
  <c r="AF96" i="3"/>
  <c r="AM120" i="3"/>
  <c r="Q111" i="3"/>
  <c r="AK103" i="3"/>
  <c r="BJ124" i="3"/>
  <c r="AI113" i="3"/>
  <c r="R118" i="3"/>
  <c r="AJ108" i="3"/>
  <c r="AI120" i="3"/>
  <c r="N111" i="3"/>
  <c r="M103" i="3"/>
  <c r="AH119" i="3"/>
  <c r="AZ110" i="3"/>
  <c r="BE102" i="3"/>
  <c r="AB129" i="3"/>
  <c r="V117" i="3"/>
  <c r="I108" i="3"/>
  <c r="R101" i="3"/>
  <c r="AC120" i="3"/>
  <c r="AB122" i="3"/>
  <c r="AH124" i="3"/>
  <c r="Z129" i="3"/>
  <c r="AN122" i="3"/>
  <c r="W115" i="3"/>
  <c r="AX127" i="3"/>
  <c r="U121" i="3"/>
  <c r="AS129" i="3"/>
  <c r="AL122" i="3"/>
  <c r="AQ127" i="3"/>
  <c r="P120" i="3"/>
  <c r="BC129" i="3"/>
  <c r="J121" i="3"/>
  <c r="G114" i="3"/>
  <c r="I128" i="3"/>
  <c r="AK119" i="3"/>
  <c r="J112" i="3"/>
  <c r="AN104" i="3"/>
  <c r="BJ123" i="3"/>
  <c r="AB116" i="3"/>
  <c r="BL107" i="3"/>
  <c r="BH125" i="3"/>
  <c r="BM122" i="3"/>
  <c r="G122" i="3"/>
  <c r="AG124" i="3"/>
  <c r="BB114" i="3"/>
  <c r="AP105" i="3"/>
  <c r="AS98" i="3"/>
  <c r="M120" i="3"/>
  <c r="AU111" i="3"/>
  <c r="AW119" i="3"/>
  <c r="BJ110" i="3"/>
  <c r="BL102" i="3"/>
  <c r="L96" i="3"/>
  <c r="G120" i="3"/>
  <c r="BG110" i="3"/>
  <c r="P103" i="3"/>
  <c r="U124" i="3"/>
  <c r="J113" i="3"/>
  <c r="BE117" i="3"/>
  <c r="M108" i="3"/>
  <c r="AI119" i="3"/>
  <c r="BA110" i="3"/>
  <c r="BF102" i="3"/>
  <c r="AQ118" i="3"/>
  <c r="AA110" i="3"/>
  <c r="AJ102" i="3"/>
  <c r="AY128" i="3"/>
  <c r="BI116" i="3"/>
  <c r="AZ107" i="3"/>
  <c r="BK100" i="3"/>
  <c r="BJ119" i="3"/>
  <c r="BE121" i="3"/>
  <c r="AO112" i="3"/>
  <c r="BK129" i="3"/>
  <c r="AS117" i="3"/>
  <c r="AW107" i="3"/>
  <c r="AJ118" i="3"/>
  <c r="BF129" i="3"/>
  <c r="AX126" i="3"/>
  <c r="BA107" i="3"/>
  <c r="AO97" i="3"/>
  <c r="BH90" i="3"/>
  <c r="M83" i="3"/>
  <c r="R115" i="3"/>
  <c r="AY99" i="3"/>
  <c r="AC92" i="3"/>
  <c r="AU84" i="3"/>
  <c r="R121" i="3"/>
  <c r="W101" i="3"/>
  <c r="AJ125" i="3"/>
  <c r="S101" i="3"/>
  <c r="BI93" i="3"/>
  <c r="BG85" i="3"/>
  <c r="BM123" i="3"/>
  <c r="BF100" i="3"/>
  <c r="AN93" i="3"/>
  <c r="BF85" i="3"/>
  <c r="AC105" i="3"/>
  <c r="AD96" i="3"/>
  <c r="M114" i="3"/>
  <c r="AB100" i="3"/>
  <c r="K114" i="3"/>
  <c r="BB100" i="3"/>
  <c r="AK93" i="3"/>
  <c r="BA116" i="3"/>
  <c r="M101" i="3"/>
  <c r="AW116" i="3"/>
  <c r="L101" i="3"/>
  <c r="AE107" i="3"/>
  <c r="AZ118" i="3"/>
  <c r="AA102" i="3"/>
  <c r="M126" i="3"/>
  <c r="S104" i="3"/>
  <c r="Y95" i="3"/>
  <c r="AM115" i="3"/>
  <c r="AT100" i="3"/>
  <c r="BE129" i="3"/>
  <c r="AT105" i="3"/>
  <c r="AO96" i="3"/>
  <c r="AS114" i="3"/>
  <c r="P100" i="3"/>
  <c r="AS91" i="3"/>
  <c r="H82" i="3"/>
  <c r="BM74" i="3"/>
  <c r="O68" i="3"/>
  <c r="AE94" i="3"/>
  <c r="AK83" i="3"/>
  <c r="N76" i="3"/>
  <c r="AB93" i="3"/>
  <c r="K83" i="3"/>
  <c r="AL75" i="3"/>
  <c r="BA68" i="3"/>
  <c r="BI92" i="3"/>
  <c r="BI97" i="3"/>
  <c r="AM91" i="3"/>
  <c r="BH96" i="3"/>
  <c r="AE120" i="3"/>
  <c r="U90" i="3"/>
  <c r="AL80" i="3"/>
  <c r="BK73" i="3"/>
  <c r="W107" i="3"/>
  <c r="BI87" i="3"/>
  <c r="BE79" i="3"/>
  <c r="V73" i="3"/>
  <c r="AV103" i="3"/>
  <c r="AR114" i="3"/>
  <c r="N90" i="3"/>
  <c r="N124" i="3"/>
  <c r="AW128" i="3"/>
  <c r="S122" i="3"/>
  <c r="AV114" i="3"/>
  <c r="AC127" i="3"/>
  <c r="BM120" i="3"/>
  <c r="X129" i="3"/>
  <c r="Q122" i="3"/>
  <c r="V127" i="3"/>
  <c r="BH119" i="3"/>
  <c r="AA129" i="3"/>
  <c r="AX120" i="3"/>
  <c r="AY113" i="3"/>
  <c r="AT127" i="3"/>
  <c r="L119" i="3"/>
  <c r="BB111" i="3"/>
  <c r="T104" i="3"/>
  <c r="AG123" i="3"/>
  <c r="AW115" i="3"/>
  <c r="AR107" i="3"/>
  <c r="AE125" i="3"/>
  <c r="AJ122" i="3"/>
  <c r="AU121" i="3"/>
  <c r="BI123" i="3"/>
  <c r="X114" i="3"/>
  <c r="T105" i="3"/>
  <c r="Y98" i="3"/>
  <c r="AZ119" i="3"/>
  <c r="V111" i="3"/>
  <c r="O119" i="3"/>
  <c r="AL110" i="3"/>
  <c r="AQ102" i="3"/>
  <c r="BE95" i="3"/>
  <c r="AQ119" i="3"/>
  <c r="AF110" i="3"/>
  <c r="BI102" i="3"/>
  <c r="AT123" i="3"/>
  <c r="AV112" i="3"/>
  <c r="Z117" i="3"/>
  <c r="BD107" i="3"/>
  <c r="AS118" i="3"/>
  <c r="AC110" i="3"/>
  <c r="AK102" i="3"/>
  <c r="P118" i="3"/>
  <c r="BE108" i="3"/>
  <c r="O102" i="3"/>
  <c r="L128" i="3"/>
  <c r="AH116" i="3"/>
  <c r="AD107" i="3"/>
  <c r="AQ100" i="3"/>
  <c r="AE119" i="3"/>
  <c r="Z121" i="3"/>
  <c r="P112" i="3"/>
  <c r="P129" i="3"/>
  <c r="R117" i="3"/>
  <c r="BJ129" i="3"/>
  <c r="AR117" i="3"/>
  <c r="K129" i="3"/>
  <c r="L126" i="3"/>
  <c r="P107" i="3"/>
  <c r="Q97" i="3"/>
  <c r="AN90" i="3"/>
  <c r="BF82" i="3"/>
  <c r="AF114" i="3"/>
  <c r="Z99" i="3"/>
  <c r="I92" i="3"/>
  <c r="AA84" i="3"/>
  <c r="L120" i="3"/>
  <c r="BI100" i="3"/>
  <c r="AQ122" i="3"/>
  <c r="BG100" i="3"/>
  <c r="AO93" i="3"/>
  <c r="AM85" i="3"/>
  <c r="AE122" i="3"/>
  <c r="AE100" i="3"/>
  <c r="T93" i="3"/>
  <c r="AL85" i="3"/>
  <c r="BL104" i="3"/>
  <c r="I96" i="3"/>
  <c r="U113" i="3"/>
  <c r="AR99" i="3"/>
  <c r="T113" i="3"/>
  <c r="AA100" i="3"/>
  <c r="Q93" i="3"/>
  <c r="BG115" i="3"/>
  <c r="BA100" i="3"/>
  <c r="BE115" i="3"/>
  <c r="AY100" i="3"/>
  <c r="BK106" i="3"/>
  <c r="AP117" i="3"/>
  <c r="AJ101" i="3"/>
  <c r="BC124" i="3"/>
  <c r="AY103" i="3"/>
  <c r="AV94" i="3"/>
  <c r="BD114" i="3"/>
  <c r="S100" i="3"/>
  <c r="BG123" i="3"/>
  <c r="AB128" i="3"/>
  <c r="BL121" i="3"/>
  <c r="AB114" i="3"/>
  <c r="H127" i="3"/>
  <c r="AR120" i="3"/>
  <c r="AU128" i="3"/>
  <c r="BJ121" i="3"/>
  <c r="AS126" i="3"/>
  <c r="AL119" i="3"/>
  <c r="BM128" i="3"/>
  <c r="Y120" i="3"/>
  <c r="AD113" i="3"/>
  <c r="Q127" i="3"/>
  <c r="BD118" i="3"/>
  <c r="AG111" i="3"/>
  <c r="BM103" i="3"/>
  <c r="G123" i="3"/>
  <c r="AA115" i="3"/>
  <c r="X107" i="3"/>
  <c r="AQ124" i="3"/>
  <c r="J122" i="3"/>
  <c r="S121" i="3"/>
  <c r="W123" i="3"/>
  <c r="AP113" i="3"/>
  <c r="BK104" i="3"/>
  <c r="AX97" i="3"/>
  <c r="R119" i="3"/>
  <c r="AX129" i="3"/>
  <c r="BA118" i="3"/>
  <c r="K110" i="3"/>
  <c r="V102" i="3"/>
  <c r="AK95" i="3"/>
  <c r="I119" i="3"/>
  <c r="G110" i="3"/>
  <c r="AN102" i="3"/>
  <c r="K123" i="3"/>
  <c r="X112" i="3"/>
  <c r="BM116" i="3"/>
  <c r="AH107" i="3"/>
  <c r="Q118" i="3"/>
  <c r="BF108" i="3"/>
  <c r="P102" i="3"/>
  <c r="AX117" i="3"/>
  <c r="AH108" i="3"/>
  <c r="BH101" i="3"/>
  <c r="AK127" i="3"/>
  <c r="I116" i="3"/>
  <c r="H107" i="3"/>
  <c r="W100" i="3"/>
  <c r="AM118" i="3"/>
  <c r="BG120" i="3"/>
  <c r="BE111" i="3"/>
  <c r="AR128" i="3"/>
  <c r="BD116" i="3"/>
  <c r="O129" i="3"/>
  <c r="Q117" i="3"/>
  <c r="AP128" i="3"/>
  <c r="AS125" i="3"/>
  <c r="AS106" i="3"/>
  <c r="BG96" i="3"/>
  <c r="T90" i="3"/>
  <c r="AL82" i="3"/>
  <c r="AQ113" i="3"/>
  <c r="AQ98" i="3"/>
  <c r="BB91" i="3"/>
  <c r="G84" i="3"/>
  <c r="J119" i="3"/>
  <c r="AJ100" i="3"/>
  <c r="M121" i="3"/>
  <c r="AG100" i="3"/>
  <c r="U93" i="3"/>
  <c r="S85" i="3"/>
  <c r="K121" i="3"/>
  <c r="AT99" i="3"/>
  <c r="BM92" i="3"/>
  <c r="R85" i="3"/>
  <c r="AD104" i="3"/>
  <c r="BA95" i="3"/>
  <c r="AJ112" i="3"/>
  <c r="S99" i="3"/>
  <c r="AI112" i="3"/>
  <c r="AQ99" i="3"/>
  <c r="BJ92" i="3"/>
  <c r="S113" i="3"/>
  <c r="Z100" i="3"/>
  <c r="P113" i="3"/>
  <c r="X100" i="3"/>
  <c r="X106" i="3"/>
  <c r="AR116" i="3"/>
  <c r="I101" i="3"/>
  <c r="N123" i="3"/>
  <c r="T103" i="3"/>
  <c r="AA94" i="3"/>
  <c r="BL113" i="3"/>
  <c r="BI99" i="3"/>
  <c r="AE124" i="3"/>
  <c r="AT104" i="3"/>
  <c r="BL95" i="3"/>
  <c r="U111" i="3"/>
  <c r="AE99" i="3"/>
  <c r="BB90" i="3"/>
  <c r="AA81" i="3"/>
  <c r="Y74" i="3"/>
  <c r="AQ66" i="3"/>
  <c r="AD93" i="3"/>
  <c r="BA82" i="3"/>
  <c r="AM75" i="3"/>
  <c r="AH92" i="3"/>
  <c r="AC82" i="3"/>
  <c r="BK74" i="3"/>
  <c r="M68" i="3"/>
  <c r="AO91" i="3"/>
  <c r="M96" i="3"/>
  <c r="AV90" i="3"/>
  <c r="BK94" i="3"/>
  <c r="BE107" i="3"/>
  <c r="AE89" i="3"/>
  <c r="BF79" i="3"/>
  <c r="W73" i="3"/>
  <c r="AN100" i="3"/>
  <c r="K87" i="3"/>
  <c r="L79" i="3"/>
  <c r="AA72" i="3"/>
  <c r="AC99" i="3"/>
  <c r="AM123" i="3"/>
  <c r="G128" i="3"/>
  <c r="AQ121" i="3"/>
  <c r="H114" i="3"/>
  <c r="AZ126" i="3"/>
  <c r="W120" i="3"/>
  <c r="Z128" i="3"/>
  <c r="AO121" i="3"/>
  <c r="W126" i="3"/>
  <c r="Q119" i="3"/>
  <c r="AK128" i="3"/>
  <c r="BM119" i="3"/>
  <c r="I113" i="3"/>
  <c r="BE126" i="3"/>
  <c r="AG118" i="3"/>
  <c r="L111" i="3"/>
  <c r="AS103" i="3"/>
  <c r="AU122" i="3"/>
  <c r="AX114" i="3"/>
  <c r="AW106" i="3"/>
  <c r="Q124" i="3"/>
  <c r="AJ129" i="3"/>
  <c r="BH120" i="3"/>
  <c r="AZ122" i="3"/>
  <c r="R113" i="3"/>
  <c r="AP104" i="3"/>
  <c r="AD97" i="3"/>
  <c r="BF118" i="3"/>
  <c r="AE128" i="3"/>
  <c r="X118" i="3"/>
  <c r="AR108" i="3"/>
  <c r="AU101" i="3"/>
  <c r="Q95" i="3"/>
  <c r="AX118" i="3"/>
  <c r="BL108" i="3"/>
  <c r="S102" i="3"/>
  <c r="AO122" i="3"/>
  <c r="AG129" i="3"/>
  <c r="AN116" i="3"/>
  <c r="L107" i="3"/>
  <c r="BD117" i="3"/>
  <c r="AI108" i="3"/>
  <c r="BI101" i="3"/>
  <c r="X117" i="3"/>
  <c r="K108" i="3"/>
  <c r="AN101" i="3"/>
  <c r="BK126" i="3"/>
  <c r="AT115" i="3"/>
  <c r="BA106" i="3"/>
  <c r="BM129" i="3"/>
  <c r="M118" i="3"/>
  <c r="AB120" i="3"/>
  <c r="AD111" i="3"/>
  <c r="AE127" i="3"/>
  <c r="AE116" i="3"/>
  <c r="AQ128" i="3"/>
  <c r="BC116" i="3"/>
  <c r="Z127" i="3"/>
  <c r="J129" i="3"/>
  <c r="AO105" i="3"/>
  <c r="AK96" i="3"/>
  <c r="BM89" i="3"/>
  <c r="R82" i="3"/>
  <c r="BD112" i="3"/>
  <c r="S98" i="3"/>
  <c r="AH91" i="3"/>
  <c r="AZ83" i="3"/>
  <c r="N115" i="3"/>
  <c r="AK125" i="3"/>
  <c r="I120" i="3"/>
  <c r="AU99" i="3"/>
  <c r="AT92" i="3"/>
  <c r="BL84" i="3"/>
  <c r="I115" i="3"/>
  <c r="V99" i="3"/>
  <c r="AS92" i="3"/>
  <c r="BK84" i="3"/>
  <c r="BK103" i="3"/>
  <c r="AF95" i="3"/>
  <c r="AW111" i="3"/>
  <c r="BG98" i="3"/>
  <c r="AT111" i="3"/>
  <c r="R99" i="3"/>
  <c r="AP92" i="3"/>
  <c r="AC112" i="3"/>
  <c r="AP99" i="3"/>
  <c r="AA112" i="3"/>
  <c r="BM99" i="3"/>
  <c r="BE105" i="3"/>
  <c r="AU115" i="3"/>
  <c r="AV100" i="3"/>
  <c r="BA120" i="3"/>
  <c r="BB102" i="3"/>
  <c r="G94" i="3"/>
  <c r="M112" i="3"/>
  <c r="AI99" i="3"/>
  <c r="AZ121" i="3"/>
  <c r="O104" i="3"/>
  <c r="AQ95" i="3"/>
  <c r="AP110" i="3"/>
  <c r="AV98" i="3"/>
  <c r="AB90" i="3"/>
  <c r="AT80" i="3"/>
  <c r="AX73" i="3"/>
  <c r="W66" i="3"/>
  <c r="AI92" i="3"/>
  <c r="AD82" i="3"/>
  <c r="AW129" i="3"/>
  <c r="S123" i="3"/>
  <c r="AY127" i="3"/>
  <c r="V121" i="3"/>
  <c r="BA113" i="3"/>
  <c r="AE126" i="3"/>
  <c r="AT119" i="3"/>
  <c r="AW127" i="3"/>
  <c r="T121" i="3"/>
  <c r="AU125" i="3"/>
  <c r="BG129" i="3"/>
  <c r="J128" i="3"/>
  <c r="AN119" i="3"/>
  <c r="BA112" i="3"/>
  <c r="AB126" i="3"/>
  <c r="K118" i="3"/>
  <c r="BE110" i="3"/>
  <c r="Y103" i="3"/>
  <c r="U122" i="3"/>
  <c r="Z114" i="3"/>
  <c r="AC106" i="3"/>
  <c r="AZ123" i="3"/>
  <c r="H129" i="3"/>
  <c r="AG120" i="3"/>
  <c r="O122" i="3"/>
  <c r="BG112" i="3"/>
  <c r="U104" i="3"/>
  <c r="J97" i="3"/>
  <c r="Z118" i="3"/>
  <c r="BD127" i="3"/>
  <c r="BJ117" i="3"/>
  <c r="R108" i="3"/>
  <c r="AA101" i="3"/>
  <c r="BJ94" i="3"/>
  <c r="U118" i="3"/>
  <c r="AL108" i="3"/>
  <c r="BL101" i="3"/>
  <c r="AL121" i="3"/>
  <c r="BF128" i="3"/>
  <c r="M116" i="3"/>
  <c r="BE106" i="3"/>
  <c r="Y117" i="3"/>
  <c r="L108" i="3"/>
  <c r="AO101" i="3"/>
  <c r="BK116" i="3"/>
  <c r="BB107" i="3"/>
  <c r="T101" i="3"/>
  <c r="Y126" i="3"/>
  <c r="S115" i="3"/>
  <c r="AE106" i="3"/>
  <c r="U129" i="3"/>
  <c r="AU117" i="3"/>
  <c r="BI119" i="3"/>
  <c r="AU110" i="3"/>
  <c r="BH126" i="3"/>
  <c r="AO115" i="3"/>
  <c r="AA127" i="3"/>
  <c r="AA116" i="3"/>
  <c r="BC126" i="3"/>
  <c r="O127" i="3"/>
  <c r="AO104" i="3"/>
  <c r="P96" i="3"/>
  <c r="AS89" i="3"/>
  <c r="BK81" i="3"/>
  <c r="I111" i="3"/>
  <c r="BK97" i="3"/>
  <c r="N91" i="3"/>
  <c r="AF83" i="3"/>
  <c r="AE114" i="3"/>
  <c r="AS122" i="3"/>
  <c r="L115" i="3"/>
  <c r="W99" i="3"/>
  <c r="Z92" i="3"/>
  <c r="AR84" i="3"/>
  <c r="T114" i="3"/>
  <c r="BI98" i="3"/>
  <c r="Y92" i="3"/>
  <c r="AQ84" i="3"/>
  <c r="AD103" i="3"/>
  <c r="K95" i="3"/>
  <c r="R110" i="3"/>
  <c r="AJ98" i="3"/>
  <c r="BL110" i="3"/>
  <c r="BF98" i="3"/>
  <c r="V92" i="3"/>
  <c r="AR111" i="3"/>
  <c r="P99" i="3"/>
  <c r="AP111" i="3"/>
  <c r="AO99" i="3"/>
  <c r="V105" i="3"/>
  <c r="BI114" i="3"/>
  <c r="U100" i="3"/>
  <c r="AX119" i="3"/>
  <c r="Z102" i="3"/>
  <c r="AZ93" i="3"/>
  <c r="AA111" i="3"/>
  <c r="I99" i="3"/>
  <c r="AO120" i="3"/>
  <c r="AU103" i="3"/>
  <c r="V95" i="3"/>
  <c r="AK108" i="3"/>
  <c r="X98" i="3"/>
  <c r="AM89" i="3"/>
  <c r="V80" i="3"/>
  <c r="AD73" i="3"/>
  <c r="AV65" i="3"/>
  <c r="AR91" i="3"/>
  <c r="G82" i="3"/>
  <c r="BL74" i="3"/>
  <c r="P91" i="3"/>
  <c r="Y81" i="3"/>
  <c r="W74" i="3"/>
  <c r="AC129" i="3"/>
  <c r="BL122" i="3"/>
  <c r="AD127" i="3"/>
  <c r="AS120" i="3"/>
  <c r="AG113" i="3"/>
  <c r="J126" i="3"/>
  <c r="Y119" i="3"/>
  <c r="AB127" i="3"/>
  <c r="BL120" i="3"/>
  <c r="Z125" i="3"/>
  <c r="AL129" i="3"/>
  <c r="AU127" i="3"/>
  <c r="M119" i="3"/>
  <c r="AF112" i="3"/>
  <c r="AO125" i="3"/>
  <c r="BB117" i="3"/>
  <c r="AJ110" i="3"/>
  <c r="AX102" i="3"/>
  <c r="BG121" i="3"/>
  <c r="AW113" i="3"/>
  <c r="I106" i="3"/>
  <c r="Z123" i="3"/>
  <c r="AX128" i="3"/>
  <c r="H120" i="3"/>
  <c r="AX121" i="3"/>
  <c r="AH112" i="3"/>
  <c r="BL103" i="3"/>
  <c r="AY129" i="3"/>
  <c r="BM117" i="3"/>
  <c r="AV129" i="3"/>
  <c r="AJ117" i="3"/>
  <c r="BI107" i="3"/>
  <c r="G101" i="3"/>
  <c r="AP94" i="3"/>
  <c r="BG117" i="3"/>
  <c r="O108" i="3"/>
  <c r="AR101" i="3"/>
  <c r="AL120" i="3"/>
  <c r="Q128" i="3"/>
  <c r="BA115" i="3"/>
  <c r="AI106" i="3"/>
  <c r="BL116" i="3"/>
  <c r="BC107" i="3"/>
  <c r="U101" i="3"/>
  <c r="AJ116" i="3"/>
  <c r="AF107" i="3"/>
  <c r="BM100" i="3"/>
  <c r="BI125" i="3"/>
  <c r="BJ114" i="3"/>
  <c r="G106" i="3"/>
  <c r="AT128" i="3"/>
  <c r="U117" i="3"/>
  <c r="AD119" i="3"/>
  <c r="W110" i="3"/>
  <c r="S126" i="3"/>
  <c r="P115" i="3"/>
  <c r="BG126" i="3"/>
  <c r="AN115" i="3"/>
  <c r="O126" i="3"/>
  <c r="BJ125" i="3"/>
  <c r="G104" i="3"/>
  <c r="BH95" i="3"/>
  <c r="Y89" i="3"/>
  <c r="AQ81" i="3"/>
  <c r="AG110" i="3"/>
  <c r="AM97" i="3"/>
  <c r="BG90" i="3"/>
  <c r="L83" i="3"/>
  <c r="AN113" i="3"/>
  <c r="Q121" i="3"/>
  <c r="V114" i="3"/>
  <c r="BK98" i="3"/>
  <c r="AY91" i="3"/>
  <c r="X84" i="3"/>
  <c r="AA113" i="3"/>
  <c r="AL98" i="3"/>
  <c r="AX91" i="3"/>
  <c r="W84" i="3"/>
  <c r="AI102" i="3"/>
  <c r="BC94" i="3"/>
  <c r="BK108" i="3"/>
  <c r="L98" i="3"/>
  <c r="M110" i="3"/>
  <c r="AH98" i="3"/>
  <c r="AU91" i="3"/>
  <c r="BK110" i="3"/>
  <c r="BE98" i="3"/>
  <c r="BI110" i="3"/>
  <c r="O99" i="3"/>
  <c r="BC104" i="3"/>
  <c r="L113" i="3"/>
  <c r="BK99" i="3"/>
  <c r="AY118" i="3"/>
  <c r="BM101" i="3"/>
  <c r="AF93" i="3"/>
  <c r="AW110" i="3"/>
  <c r="AY98" i="3"/>
  <c r="AG119" i="3"/>
  <c r="O103" i="3"/>
  <c r="AS94" i="3"/>
  <c r="BH107" i="3"/>
  <c r="AR97" i="3"/>
  <c r="M89" i="3"/>
  <c r="BM79" i="3"/>
  <c r="J73" i="3"/>
  <c r="AB65" i="3"/>
  <c r="Q91" i="3"/>
  <c r="AW81" i="3"/>
  <c r="AR74" i="3"/>
  <c r="AY90" i="3"/>
  <c r="AQ80" i="3"/>
  <c r="AV73" i="3"/>
  <c r="U66" i="3"/>
  <c r="Y90" i="3"/>
  <c r="Z94" i="3"/>
  <c r="AG89" i="3"/>
  <c r="V93" i="3"/>
  <c r="AR100" i="3"/>
  <c r="N87" i="3"/>
  <c r="BF78" i="3"/>
  <c r="H72" i="3"/>
  <c r="AQ97" i="3"/>
  <c r="AO85" i="3"/>
  <c r="Q78" i="3"/>
  <c r="AF71" i="3"/>
  <c r="AV96" i="3"/>
  <c r="AB99" i="3"/>
  <c r="I129" i="3"/>
  <c r="AR122" i="3"/>
  <c r="I127" i="3"/>
  <c r="X120" i="3"/>
  <c r="M113" i="3"/>
  <c r="BC125" i="3"/>
  <c r="AV118" i="3"/>
  <c r="G127" i="3"/>
  <c r="AQ120" i="3"/>
  <c r="AW124" i="3"/>
  <c r="Q129" i="3"/>
  <c r="R127" i="3"/>
  <c r="BE118" i="3"/>
  <c r="K112" i="3"/>
  <c r="O125" i="3"/>
  <c r="AD117" i="3"/>
  <c r="O110" i="3"/>
  <c r="AD102" i="3"/>
  <c r="AG121" i="3"/>
  <c r="AB113" i="3"/>
  <c r="BB105" i="3"/>
  <c r="AP129" i="3"/>
  <c r="U128" i="3"/>
  <c r="AY119" i="3"/>
  <c r="P121" i="3"/>
  <c r="G112" i="3"/>
  <c r="AQ103" i="3"/>
  <c r="AF128" i="3"/>
  <c r="AL117" i="3"/>
  <c r="AD128" i="3"/>
  <c r="AS116" i="3"/>
  <c r="AM107" i="3"/>
  <c r="AZ100" i="3"/>
  <c r="AI129" i="3"/>
  <c r="AB117" i="3"/>
  <c r="BF107" i="3"/>
  <c r="X101" i="3"/>
  <c r="AP119" i="3"/>
  <c r="AR127" i="3"/>
  <c r="Y115" i="3"/>
  <c r="M106" i="3"/>
  <c r="AM116" i="3"/>
  <c r="AG107" i="3"/>
  <c r="AE129" i="3"/>
  <c r="K116" i="3"/>
  <c r="J107" i="3"/>
  <c r="AS100" i="3"/>
  <c r="T125" i="3"/>
  <c r="AK114" i="3"/>
  <c r="AX105" i="3"/>
  <c r="K128" i="3"/>
  <c r="BH116" i="3"/>
  <c r="AL118" i="3"/>
  <c r="BA108" i="3"/>
  <c r="AZ125" i="3"/>
  <c r="BG114" i="3"/>
  <c r="P126" i="3"/>
  <c r="O115" i="3"/>
  <c r="AX125" i="3"/>
  <c r="BC122" i="3"/>
  <c r="AO103" i="3"/>
  <c r="AM95" i="3"/>
  <c r="BA87" i="3"/>
  <c r="W81" i="3"/>
  <c r="Z108" i="3"/>
  <c r="P97" i="3"/>
  <c r="AM90" i="3"/>
  <c r="BE82" i="3"/>
  <c r="BB112" i="3"/>
  <c r="J120" i="3"/>
  <c r="AK113" i="3"/>
  <c r="AM98" i="3"/>
  <c r="AE91" i="3"/>
  <c r="AW83" i="3"/>
  <c r="AP112" i="3"/>
  <c r="N98" i="3"/>
  <c r="AD91" i="3"/>
  <c r="AZ128" i="3"/>
  <c r="G102" i="3"/>
  <c r="AH94" i="3"/>
  <c r="N108" i="3"/>
  <c r="BD97" i="3"/>
  <c r="BD108" i="3"/>
  <c r="K98" i="3"/>
  <c r="AA91" i="3"/>
  <c r="L110" i="3"/>
  <c r="AG98" i="3"/>
  <c r="J110" i="3"/>
  <c r="AL126" i="3"/>
  <c r="W104" i="3"/>
  <c r="T112" i="3"/>
  <c r="AL99" i="3"/>
  <c r="AN117" i="3"/>
  <c r="AI101" i="3"/>
  <c r="L93" i="3"/>
  <c r="AS108" i="3"/>
  <c r="AB98" i="3"/>
  <c r="AE118" i="3"/>
  <c r="AY102" i="3"/>
  <c r="X94" i="3"/>
  <c r="U107" i="3"/>
  <c r="U97" i="3"/>
  <c r="AS87" i="3"/>
  <c r="AP79" i="3"/>
  <c r="BC72" i="3"/>
  <c r="H65" i="3"/>
  <c r="BA90" i="3"/>
  <c r="Z81" i="3"/>
  <c r="X74" i="3"/>
  <c r="Z90" i="3"/>
  <c r="T80" i="3"/>
  <c r="AB73" i="3"/>
  <c r="AT65" i="3"/>
  <c r="BK89" i="3"/>
  <c r="BJ112" i="3"/>
  <c r="H89" i="3"/>
  <c r="BF92" i="3"/>
  <c r="AM99" i="3"/>
  <c r="AY86" i="3"/>
  <c r="AL78" i="3"/>
  <c r="BB128" i="3"/>
  <c r="X122" i="3"/>
  <c r="BA126" i="3"/>
  <c r="AU119" i="3"/>
  <c r="BF112" i="3"/>
  <c r="AH125" i="3"/>
  <c r="AA118" i="3"/>
  <c r="AY126" i="3"/>
  <c r="V120" i="3"/>
  <c r="AB124" i="3"/>
  <c r="BI128" i="3"/>
  <c r="BF126" i="3"/>
  <c r="AH118" i="3"/>
  <c r="BC111" i="3"/>
  <c r="AZ124" i="3"/>
  <c r="H117" i="3"/>
  <c r="BH108" i="3"/>
  <c r="BA129" i="3"/>
  <c r="G121" i="3"/>
  <c r="G113" i="3"/>
  <c r="AH105" i="3"/>
  <c r="L129" i="3"/>
  <c r="BF127" i="3"/>
  <c r="W119" i="3"/>
  <c r="AY120" i="3"/>
  <c r="AV111" i="3"/>
  <c r="V103" i="3"/>
  <c r="BE127" i="3"/>
  <c r="J117" i="3"/>
  <c r="BC127" i="3"/>
  <c r="T116" i="3"/>
  <c r="Q107" i="3"/>
  <c r="AF100" i="3"/>
  <c r="BH128" i="3"/>
  <c r="AP116" i="3"/>
  <c r="AJ107" i="3"/>
  <c r="AW100" i="3"/>
  <c r="H119" i="3"/>
  <c r="AI126" i="3"/>
  <c r="AO114" i="3"/>
  <c r="AF129" i="3"/>
  <c r="L116" i="3"/>
  <c r="K107" i="3"/>
  <c r="BD128" i="3"/>
  <c r="AV115" i="3"/>
  <c r="BC106" i="3"/>
  <c r="Y100" i="3"/>
  <c r="AX124" i="3"/>
  <c r="L114" i="3"/>
  <c r="AB105" i="3"/>
  <c r="AH127" i="3"/>
  <c r="AG116" i="3"/>
  <c r="I118" i="3"/>
  <c r="AD108" i="3"/>
  <c r="Q125" i="3"/>
  <c r="AH114" i="3"/>
  <c r="AY125" i="3"/>
  <c r="BF114" i="3"/>
  <c r="H125" i="3"/>
  <c r="AN121" i="3"/>
  <c r="G103" i="3"/>
  <c r="R95" i="3"/>
  <c r="AG87" i="3"/>
  <c r="AV80" i="3"/>
  <c r="AY107" i="3"/>
  <c r="BF96" i="3"/>
  <c r="S90" i="3"/>
  <c r="AK82" i="3"/>
  <c r="BM111" i="3"/>
  <c r="M115" i="3"/>
  <c r="AR112" i="3"/>
  <c r="P98" i="3"/>
  <c r="K91" i="3"/>
  <c r="AC83" i="3"/>
  <c r="AY111" i="3"/>
  <c r="BF97" i="3"/>
  <c r="J91" i="3"/>
  <c r="G125" i="3"/>
  <c r="AT101" i="3"/>
  <c r="N94" i="3"/>
  <c r="AN107" i="3"/>
  <c r="AG97" i="3"/>
  <c r="J108" i="3"/>
  <c r="BC97" i="3"/>
  <c r="G91" i="3"/>
  <c r="BB108" i="3"/>
  <c r="J98" i="3"/>
  <c r="AX108" i="3"/>
  <c r="X123" i="3"/>
  <c r="BD103" i="3"/>
  <c r="AJ111" i="3"/>
  <c r="L99" i="3"/>
  <c r="AQ116" i="3"/>
  <c r="H101" i="3"/>
  <c r="BE92" i="3"/>
  <c r="Z107" i="3"/>
  <c r="AV97" i="3"/>
  <c r="AH117" i="3"/>
  <c r="U102" i="3"/>
  <c r="AW93" i="3"/>
  <c r="AV106" i="3"/>
  <c r="BJ96" i="3"/>
  <c r="U87" i="3"/>
  <c r="T79" i="3"/>
  <c r="AI72" i="3"/>
  <c r="BA64" i="3"/>
  <c r="AA90" i="3"/>
  <c r="AS80" i="3"/>
  <c r="AW73" i="3"/>
  <c r="AJ89" i="3"/>
  <c r="BK79" i="3"/>
  <c r="H73" i="3"/>
  <c r="Z124" i="3"/>
  <c r="AI89" i="3"/>
  <c r="BK107" i="3"/>
  <c r="BL87" i="3"/>
  <c r="AB92" i="3"/>
  <c r="AN98" i="3"/>
  <c r="AA86" i="3"/>
  <c r="R78" i="3"/>
  <c r="AH128" i="3"/>
  <c r="AW121" i="3"/>
  <c r="AF126" i="3"/>
  <c r="Z119" i="3"/>
  <c r="AL112" i="3"/>
  <c r="M125" i="3"/>
  <c r="G118" i="3"/>
  <c r="AD126" i="3"/>
  <c r="AS119" i="3"/>
  <c r="G124" i="3"/>
  <c r="AN128" i="3"/>
  <c r="AC126" i="3"/>
  <c r="L118" i="3"/>
  <c r="AH111" i="3"/>
  <c r="X124" i="3"/>
  <c r="AY116" i="3"/>
  <c r="AN108" i="3"/>
  <c r="V129" i="3"/>
  <c r="AV120" i="3"/>
  <c r="AY112" i="3"/>
  <c r="N105" i="3"/>
  <c r="BA128" i="3"/>
  <c r="AF127" i="3"/>
  <c r="AP118" i="3"/>
  <c r="O120" i="3"/>
  <c r="X111" i="3"/>
  <c r="AT102" i="3"/>
  <c r="T127" i="3"/>
  <c r="AU116" i="3"/>
  <c r="N127" i="3"/>
  <c r="BF115" i="3"/>
  <c r="BJ106" i="3"/>
  <c r="L100" i="3"/>
  <c r="V128" i="3"/>
  <c r="O116" i="3"/>
  <c r="N107" i="3"/>
  <c r="AC100" i="3"/>
  <c r="AU118" i="3"/>
  <c r="BM125" i="3"/>
  <c r="P114" i="3"/>
  <c r="BE128" i="3"/>
  <c r="AZ115" i="3"/>
  <c r="BD106" i="3"/>
  <c r="O128" i="3"/>
  <c r="U115" i="3"/>
  <c r="AG106" i="3"/>
  <c r="AX99" i="3"/>
  <c r="J124" i="3"/>
  <c r="BB113" i="3"/>
  <c r="AX104" i="3"/>
  <c r="BJ126" i="3"/>
  <c r="BL129" i="3"/>
  <c r="AT117" i="3"/>
  <c r="G108" i="3"/>
  <c r="AS124" i="3"/>
  <c r="I114" i="3"/>
  <c r="J125" i="3"/>
  <c r="AG114" i="3"/>
  <c r="AO124" i="3"/>
  <c r="R120" i="3"/>
  <c r="AS102" i="3"/>
  <c r="BI94" i="3"/>
  <c r="M87" i="3"/>
  <c r="AB80" i="3"/>
  <c r="O107" i="3"/>
  <c r="AJ96" i="3"/>
  <c r="BL89" i="3"/>
  <c r="Q82" i="3"/>
  <c r="G111" i="3"/>
  <c r="Y114" i="3"/>
  <c r="BF111" i="3"/>
  <c r="BG97" i="3"/>
  <c r="BD90" i="3"/>
  <c r="I83" i="3"/>
  <c r="T110" i="3"/>
  <c r="AI97" i="3"/>
  <c r="BC90" i="3"/>
  <c r="BC123" i="3"/>
  <c r="P101" i="3"/>
  <c r="BG93" i="3"/>
  <c r="AF106" i="3"/>
  <c r="I97" i="3"/>
  <c r="AL107" i="3"/>
  <c r="AF97" i="3"/>
  <c r="AZ90" i="3"/>
  <c r="H108" i="3"/>
  <c r="BB97" i="3"/>
  <c r="AI107" i="3"/>
  <c r="BC119" i="3"/>
  <c r="W103" i="3"/>
  <c r="BC110" i="3"/>
  <c r="BA98" i="3"/>
  <c r="AS115" i="3"/>
  <c r="AU100" i="3"/>
  <c r="AK92" i="3"/>
  <c r="BF106" i="3"/>
  <c r="X97" i="3"/>
  <c r="Y116" i="3"/>
  <c r="BG101" i="3"/>
  <c r="AC93" i="3"/>
  <c r="P106" i="3"/>
  <c r="AT121" i="3"/>
  <c r="BJ86" i="3"/>
  <c r="BM78" i="3"/>
  <c r="O72" i="3"/>
  <c r="AG64" i="3"/>
  <c r="AL89" i="3"/>
  <c r="U80" i="3"/>
  <c r="W118" i="3"/>
  <c r="K89" i="3"/>
  <c r="AN79" i="3"/>
  <c r="BA72" i="3"/>
  <c r="N128" i="3"/>
  <c r="AP127" i="3"/>
  <c r="AQ129" i="3"/>
  <c r="AT114" i="3"/>
  <c r="AH126" i="3"/>
  <c r="S125" i="3"/>
  <c r="AB108" i="3"/>
  <c r="AG79" i="3"/>
  <c r="AV107" i="3"/>
  <c r="N82" i="3"/>
  <c r="AS99" i="3"/>
  <c r="AB96" i="3"/>
  <c r="AT116" i="3"/>
  <c r="AJ99" i="3"/>
  <c r="M105" i="3"/>
  <c r="R91" i="3"/>
  <c r="Y118" i="3"/>
  <c r="AF115" i="3"/>
  <c r="AV77" i="3"/>
  <c r="AG92" i="3"/>
  <c r="I91" i="3"/>
  <c r="L112" i="3"/>
  <c r="BI80" i="3"/>
  <c r="R70" i="3"/>
  <c r="Z86" i="3"/>
  <c r="AZ75" i="3"/>
  <c r="AE98" i="3"/>
  <c r="BM95" i="3"/>
  <c r="BD84" i="3"/>
  <c r="M93" i="3"/>
  <c r="K94" i="3"/>
  <c r="W83" i="3"/>
  <c r="W76" i="3"/>
  <c r="J94" i="3"/>
  <c r="AS83" i="3"/>
  <c r="W97" i="3"/>
  <c r="BE85" i="3"/>
  <c r="AJ77" i="3"/>
  <c r="AR94" i="3"/>
  <c r="AQ83" i="3"/>
  <c r="S116" i="3"/>
  <c r="AP86" i="3"/>
  <c r="AI93" i="3"/>
  <c r="BH82" i="3"/>
  <c r="AK76" i="3"/>
  <c r="AR65" i="3"/>
  <c r="N58" i="3"/>
  <c r="I51" i="3"/>
  <c r="G43" i="3"/>
  <c r="U81" i="3"/>
  <c r="BL69" i="3"/>
  <c r="BK60" i="3"/>
  <c r="BF53" i="3"/>
  <c r="BD45" i="3"/>
  <c r="Q87" i="3"/>
  <c r="AN72" i="3"/>
  <c r="AA63" i="3"/>
  <c r="AP56" i="3"/>
  <c r="BE49" i="3"/>
  <c r="J42" i="3"/>
  <c r="T84" i="3"/>
  <c r="BB71" i="3"/>
  <c r="AY62" i="3"/>
  <c r="AT55" i="3"/>
  <c r="AO48" i="3"/>
  <c r="AM40" i="3"/>
  <c r="BI77" i="3"/>
  <c r="Z77" i="3"/>
  <c r="Y68" i="3"/>
  <c r="AM60" i="3"/>
  <c r="U78" i="3"/>
  <c r="BE77" i="3"/>
  <c r="W68" i="3"/>
  <c r="AK60" i="3"/>
  <c r="AZ53" i="3"/>
  <c r="AJ80" i="3"/>
  <c r="AJ70" i="3"/>
  <c r="AY61" i="3"/>
  <c r="Q79" i="3"/>
  <c r="BB69" i="3"/>
  <c r="AD61" i="3"/>
  <c r="BM54" i="3"/>
  <c r="BG79" i="3"/>
  <c r="J70" i="3"/>
  <c r="AW61" i="3"/>
  <c r="BI84" i="3"/>
  <c r="AC72" i="3"/>
  <c r="AX76" i="3"/>
  <c r="BA66" i="3"/>
  <c r="L60" i="3"/>
  <c r="P76" i="3"/>
  <c r="AZ66" i="3"/>
  <c r="AO78" i="3"/>
  <c r="AU69" i="3"/>
  <c r="AN85" i="3"/>
  <c r="BH73" i="3"/>
  <c r="AR95" i="3"/>
  <c r="T74" i="3"/>
  <c r="AN77" i="3"/>
  <c r="AI78" i="3"/>
  <c r="I64" i="3"/>
  <c r="AA52" i="3"/>
  <c r="V42" i="3"/>
  <c r="BC34" i="3"/>
  <c r="Y28" i="3"/>
  <c r="AQ20" i="3"/>
  <c r="BF13" i="3"/>
  <c r="H60" i="3"/>
  <c r="AH49" i="3"/>
  <c r="AP39" i="3"/>
  <c r="BL32" i="3"/>
  <c r="N26" i="3"/>
  <c r="AF18" i="3"/>
  <c r="AJ63" i="3"/>
  <c r="AJ51" i="3"/>
  <c r="T42" i="3"/>
  <c r="BA34" i="3"/>
  <c r="W28" i="3"/>
  <c r="U20" i="3"/>
  <c r="AS65" i="3"/>
  <c r="BK51" i="3"/>
  <c r="S42" i="3"/>
  <c r="AZ34" i="3"/>
  <c r="V28" i="3"/>
  <c r="AH63" i="3"/>
  <c r="AH51" i="3"/>
  <c r="AY55" i="3"/>
  <c r="J68" i="3"/>
  <c r="BF54" i="3"/>
  <c r="S62" i="3"/>
  <c r="BE51" i="3"/>
  <c r="O42" i="3"/>
  <c r="P55" i="3"/>
  <c r="K45" i="3"/>
  <c r="L37" i="3"/>
  <c r="BM63" i="3"/>
  <c r="AN52" i="3"/>
  <c r="AC121" i="3"/>
  <c r="AP125" i="3"/>
  <c r="X128" i="3"/>
  <c r="AN106" i="3"/>
  <c r="X115" i="3"/>
  <c r="T129" i="3"/>
  <c r="AB123" i="3"/>
  <c r="M127" i="3"/>
  <c r="M107" i="3"/>
  <c r="BG81" i="3"/>
  <c r="U99" i="3"/>
  <c r="G96" i="3"/>
  <c r="BD115" i="3"/>
  <c r="K99" i="3"/>
  <c r="AF101" i="3"/>
  <c r="AJ86" i="3"/>
  <c r="AR110" i="3"/>
  <c r="AN110" i="3"/>
  <c r="BF75" i="3"/>
  <c r="M91" i="3"/>
  <c r="W90" i="3"/>
  <c r="AU105" i="3"/>
  <c r="O80" i="3"/>
  <c r="BK69" i="3"/>
  <c r="O85" i="3"/>
  <c r="AF75" i="3"/>
  <c r="AP97" i="3"/>
  <c r="U95" i="3"/>
  <c r="AF84" i="3"/>
  <c r="AZ92" i="3"/>
  <c r="AT93" i="3"/>
  <c r="BM82" i="3"/>
  <c r="AV75" i="3"/>
  <c r="AQ93" i="3"/>
  <c r="BL82" i="3"/>
  <c r="AL96" i="3"/>
  <c r="AG85" i="3"/>
  <c r="P77" i="3"/>
  <c r="AL93" i="3"/>
  <c r="T83" i="3"/>
  <c r="BB106" i="3"/>
  <c r="P86" i="3"/>
  <c r="AN92" i="3"/>
  <c r="AI82" i="3"/>
  <c r="AP75" i="3"/>
  <c r="W65" i="3"/>
  <c r="BG57" i="3"/>
  <c r="BB50" i="3"/>
  <c r="AZ42" i="3"/>
  <c r="AY80" i="3"/>
  <c r="AL69" i="3"/>
  <c r="AQ60" i="3"/>
  <c r="AL53" i="3"/>
  <c r="P45" i="3"/>
  <c r="K86" i="3"/>
  <c r="P72" i="3"/>
  <c r="G63" i="3"/>
  <c r="V56" i="3"/>
  <c r="AK49" i="3"/>
  <c r="BC41" i="3"/>
  <c r="AN83" i="3"/>
  <c r="AB71" i="3"/>
  <c r="AE62" i="3"/>
  <c r="Z55" i="3"/>
  <c r="U48" i="3"/>
  <c r="S40" i="3"/>
  <c r="AA77" i="3"/>
  <c r="BJ76" i="3"/>
  <c r="BH66" i="3"/>
  <c r="S60" i="3"/>
  <c r="BG77" i="3"/>
  <c r="X77" i="3"/>
  <c r="BF66" i="3"/>
  <c r="Q60" i="3"/>
  <c r="AF53" i="3"/>
  <c r="BI79" i="3"/>
  <c r="L70" i="3"/>
  <c r="AE61" i="3"/>
  <c r="AW78" i="3"/>
  <c r="AC69" i="3"/>
  <c r="J61" i="3"/>
  <c r="AS54" i="3"/>
  <c r="P79" i="3"/>
  <c r="BA69" i="3"/>
  <c r="AC61" i="3"/>
  <c r="Q83" i="3"/>
  <c r="AR71" i="3"/>
  <c r="Q76" i="3"/>
  <c r="AE66" i="3"/>
  <c r="BE59" i="3"/>
  <c r="AY75" i="3"/>
  <c r="AD66" i="3"/>
  <c r="H78" i="3"/>
  <c r="U69" i="3"/>
  <c r="AT84" i="3"/>
  <c r="AG73" i="3"/>
  <c r="O89" i="3"/>
  <c r="BG73" i="3"/>
  <c r="AP76" i="3"/>
  <c r="AM77" i="3"/>
  <c r="AQ63" i="3"/>
  <c r="AL51" i="3"/>
  <c r="BK41" i="3"/>
  <c r="AI34" i="3"/>
  <c r="AX27" i="3"/>
  <c r="W20" i="3"/>
  <c r="AL13" i="3"/>
  <c r="AL59" i="3"/>
  <c r="H49" i="3"/>
  <c r="R39" i="3"/>
  <c r="AR32" i="3"/>
  <c r="BJ24" i="3"/>
  <c r="L18" i="3"/>
  <c r="AD62" i="3"/>
  <c r="K51" i="3"/>
  <c r="BI41" i="3"/>
  <c r="AG34" i="3"/>
  <c r="AV27" i="3"/>
  <c r="AT19" i="3"/>
  <c r="AX64" i="3"/>
  <c r="AI51" i="3"/>
  <c r="BH41" i="3"/>
  <c r="AF34" i="3"/>
  <c r="AU27" i="3"/>
  <c r="BK62" i="3"/>
  <c r="M80" i="3"/>
  <c r="S55" i="3"/>
  <c r="Z66" i="3"/>
  <c r="AB54" i="3"/>
  <c r="AV61" i="3"/>
  <c r="AE51" i="3"/>
  <c r="AZ41" i="3"/>
  <c r="BD54" i="3"/>
  <c r="AZ44" i="3"/>
  <c r="BE36" i="3"/>
  <c r="Y63" i="3"/>
  <c r="L52" i="3"/>
  <c r="R43" i="3"/>
  <c r="BI35" i="3"/>
  <c r="BH57" i="3"/>
  <c r="AJ48" i="3"/>
  <c r="BI68" i="3"/>
  <c r="AW54" i="3"/>
  <c r="AX70" i="3"/>
  <c r="L55" i="3"/>
  <c r="AE45" i="3"/>
  <c r="H37" i="3"/>
  <c r="BG71" i="3"/>
  <c r="BM55" i="3"/>
  <c r="BF45" i="3"/>
  <c r="BB63" i="3"/>
  <c r="Z53" i="3"/>
  <c r="AK43" i="3"/>
  <c r="P35" i="3"/>
  <c r="P58" i="3"/>
  <c r="AE48" i="3"/>
  <c r="AS38" i="3"/>
  <c r="AQ58" i="3"/>
  <c r="BB48" i="3"/>
  <c r="AG108" i="3"/>
  <c r="AS57" i="3"/>
  <c r="AX47" i="3"/>
  <c r="U38" i="3"/>
  <c r="H58" i="3"/>
  <c r="AB48" i="3"/>
  <c r="S35" i="3"/>
  <c r="H26" i="3"/>
  <c r="BB120" i="3"/>
  <c r="BA124" i="3"/>
  <c r="AI127" i="3"/>
  <c r="BI105" i="3"/>
  <c r="AN114" i="3"/>
  <c r="AG127" i="3"/>
  <c r="Y122" i="3"/>
  <c r="J116" i="3"/>
  <c r="AZ101" i="3"/>
  <c r="U125" i="3"/>
  <c r="BA96" i="3"/>
  <c r="BE93" i="3"/>
  <c r="AW108" i="3"/>
  <c r="AT95" i="3"/>
  <c r="Q100" i="3"/>
  <c r="AY85" i="3"/>
  <c r="H106" i="3"/>
  <c r="L104" i="3"/>
  <c r="R75" i="3"/>
  <c r="AX90" i="3"/>
  <c r="BG89" i="3"/>
  <c r="J102" i="3"/>
  <c r="AI79" i="3"/>
  <c r="AQ69" i="3"/>
  <c r="BF84" i="3"/>
  <c r="L75" i="3"/>
  <c r="W95" i="3"/>
  <c r="AZ94" i="3"/>
  <c r="AV83" i="3"/>
  <c r="S92" i="3"/>
  <c r="K93" i="3"/>
  <c r="AP82" i="3"/>
  <c r="AB75" i="3"/>
  <c r="AV92" i="3"/>
  <c r="AO82" i="3"/>
  <c r="BF95" i="3"/>
  <c r="I85" i="3"/>
  <c r="BI76" i="3"/>
  <c r="G93" i="3"/>
  <c r="BJ82" i="3"/>
  <c r="AY101" i="3"/>
  <c r="BC85" i="3"/>
  <c r="L92" i="3"/>
  <c r="K82" i="3"/>
  <c r="J75" i="3"/>
  <c r="AT64" i="3"/>
  <c r="AM57" i="3"/>
  <c r="AH50" i="3"/>
  <c r="AF42" i="3"/>
  <c r="K80" i="3"/>
  <c r="N69" i="3"/>
  <c r="W60" i="3"/>
  <c r="BK52" i="3"/>
  <c r="BI44" i="3"/>
  <c r="N85" i="3"/>
  <c r="BC71" i="3"/>
  <c r="AZ62" i="3"/>
  <c r="AU55" i="3"/>
  <c r="Q49" i="3"/>
  <c r="AI41" i="3"/>
  <c r="BD82" i="3"/>
  <c r="AR70" i="3"/>
  <c r="K62" i="3"/>
  <c r="AY54" i="3"/>
  <c r="AT47" i="3"/>
  <c r="BL39" i="3"/>
  <c r="BL76" i="3"/>
  <c r="AC76" i="3"/>
  <c r="AL66" i="3"/>
  <c r="BL59" i="3"/>
  <c r="Y77" i="3"/>
  <c r="BF76" i="3"/>
  <c r="AJ66" i="3"/>
  <c r="BJ59" i="3"/>
  <c r="L53" i="3"/>
  <c r="U79" i="3"/>
  <c r="BC69" i="3"/>
  <c r="K61" i="3"/>
  <c r="P78" i="3"/>
  <c r="AS68" i="3"/>
  <c r="BC60" i="3"/>
  <c r="Y54" i="3"/>
  <c r="AV78" i="3"/>
  <c r="AA69" i="3"/>
  <c r="I61" i="3"/>
  <c r="AF82" i="3"/>
  <c r="S71" i="3"/>
  <c r="BB75" i="3"/>
  <c r="I66" i="3"/>
  <c r="AK59" i="3"/>
  <c r="V75" i="3"/>
  <c r="H66" i="3"/>
  <c r="AS77" i="3"/>
  <c r="BL68" i="3"/>
  <c r="BK83" i="3"/>
  <c r="AW72" i="3"/>
  <c r="AU87" i="3"/>
  <c r="AF73" i="3"/>
  <c r="I76" i="3"/>
  <c r="AM76" i="3"/>
  <c r="AJ62" i="3"/>
  <c r="M51" i="3"/>
  <c r="AM41" i="3"/>
  <c r="O34" i="3"/>
  <c r="AD27" i="3"/>
  <c r="AV19" i="3"/>
  <c r="R13" i="3"/>
  <c r="AL58" i="3"/>
  <c r="AW48" i="3"/>
  <c r="BI38" i="3"/>
  <c r="X32" i="3"/>
  <c r="AP24" i="3"/>
  <c r="BE17" i="3"/>
  <c r="BJ61" i="3"/>
  <c r="AV50" i="3"/>
  <c r="AG41" i="3"/>
  <c r="M34" i="3"/>
  <c r="AB27" i="3"/>
  <c r="Z19" i="3"/>
  <c r="AI63" i="3"/>
  <c r="J51" i="3"/>
  <c r="AF41" i="3"/>
  <c r="L34" i="3"/>
  <c r="AA27" i="3"/>
  <c r="W62" i="3"/>
  <c r="J72" i="3"/>
  <c r="BG54" i="3"/>
  <c r="AG65" i="3"/>
  <c r="AN53" i="3"/>
  <c r="H61" i="3"/>
  <c r="AP50" i="3"/>
  <c r="AB41" i="3"/>
  <c r="X54" i="3"/>
  <c r="AB44" i="3"/>
  <c r="AK36" i="3"/>
  <c r="BE62" i="3"/>
  <c r="K126" i="3"/>
  <c r="BC117" i="3"/>
  <c r="AN126" i="3"/>
  <c r="BE99" i="3"/>
  <c r="AH106" i="3"/>
  <c r="T117" i="3"/>
  <c r="X127" i="3"/>
  <c r="AR106" i="3"/>
  <c r="AL113" i="3"/>
  <c r="Q108" i="3"/>
  <c r="AM93" i="3"/>
  <c r="AF90" i="3"/>
  <c r="BG102" i="3"/>
  <c r="Q92" i="3"/>
  <c r="BF99" i="3"/>
  <c r="AA85" i="3"/>
  <c r="AO95" i="3"/>
  <c r="AU102" i="3"/>
  <c r="AQ74" i="3"/>
  <c r="J89" i="3"/>
  <c r="AN87" i="3"/>
  <c r="AT97" i="3"/>
  <c r="M79" i="3"/>
  <c r="W69" i="3"/>
  <c r="AH84" i="3"/>
  <c r="AK74" i="3"/>
  <c r="BB94" i="3"/>
  <c r="Q94" i="3"/>
  <c r="Y83" i="3"/>
  <c r="BG91" i="3"/>
  <c r="AY92" i="3"/>
  <c r="S82" i="3"/>
  <c r="BA74" i="3"/>
  <c r="P92" i="3"/>
  <c r="P82" i="3"/>
  <c r="N95" i="3"/>
  <c r="AZ84" i="3"/>
  <c r="AO76" i="3"/>
  <c r="AQ92" i="3"/>
  <c r="AM82" i="3"/>
  <c r="H98" i="3"/>
  <c r="AE85" i="3"/>
  <c r="AW91" i="3"/>
  <c r="BA81" i="3"/>
  <c r="AT74" i="3"/>
  <c r="Y64" i="3"/>
  <c r="S57" i="3"/>
  <c r="N50" i="3"/>
  <c r="L42" i="3"/>
  <c r="AJ79" i="3"/>
  <c r="BE68" i="3"/>
  <c r="AB59" i="3"/>
  <c r="AQ52" i="3"/>
  <c r="AO44" i="3"/>
  <c r="AE84" i="3"/>
  <c r="AC71" i="3"/>
  <c r="AF62" i="3"/>
  <c r="AA55" i="3"/>
  <c r="BJ48" i="3"/>
  <c r="O41" i="3"/>
  <c r="R81" i="3"/>
  <c r="S70" i="3"/>
  <c r="BD61" i="3"/>
  <c r="AE54" i="3"/>
  <c r="Z47" i="3"/>
  <c r="AR39" i="3"/>
  <c r="AD76" i="3"/>
  <c r="AI125" i="3"/>
  <c r="I117" i="3"/>
  <c r="BA125" i="3"/>
  <c r="Q99" i="3"/>
  <c r="BA105" i="3"/>
  <c r="AF116" i="3"/>
  <c r="P119" i="3"/>
  <c r="AM104" i="3"/>
  <c r="BH111" i="3"/>
  <c r="AL106" i="3"/>
  <c r="BL92" i="3"/>
  <c r="BE89" i="3"/>
  <c r="AK101" i="3"/>
  <c r="AP91" i="3"/>
  <c r="BK96" i="3"/>
  <c r="AE82" i="3"/>
  <c r="BK93" i="3"/>
  <c r="BG99" i="3"/>
  <c r="AG72" i="3"/>
  <c r="AP87" i="3"/>
  <c r="P87" i="3"/>
  <c r="BE96" i="3"/>
  <c r="BK77" i="3"/>
  <c r="P117" i="3"/>
  <c r="J84" i="3"/>
  <c r="AP73" i="3"/>
  <c r="R94" i="3"/>
  <c r="AV93" i="3"/>
  <c r="AR82" i="3"/>
  <c r="AC91" i="3"/>
  <c r="R92" i="3"/>
  <c r="AI81" i="3"/>
  <c r="AG74" i="3"/>
  <c r="BE91" i="3"/>
  <c r="BE81" i="3"/>
  <c r="AT94" i="3"/>
  <c r="Z84" i="3"/>
  <c r="U76" i="3"/>
  <c r="N92" i="3"/>
  <c r="M82" i="3"/>
  <c r="R97" i="3"/>
  <c r="G85" i="3"/>
  <c r="U91" i="3"/>
  <c r="AD81" i="3"/>
  <c r="N74" i="3"/>
  <c r="AW63" i="3"/>
  <c r="BL56" i="3"/>
  <c r="BG49" i="3"/>
  <c r="BE41" i="3"/>
  <c r="BJ78" i="3"/>
  <c r="AR66" i="3"/>
  <c r="H59" i="3"/>
  <c r="W52" i="3"/>
  <c r="U44" i="3"/>
  <c r="AU83" i="3"/>
  <c r="AT70" i="3"/>
  <c r="L62" i="3"/>
  <c r="G55" i="3"/>
  <c r="AP48" i="3"/>
  <c r="BH40" i="3"/>
  <c r="AW80" i="3"/>
  <c r="BH69" i="3"/>
  <c r="AJ61" i="3"/>
  <c r="K54" i="3"/>
  <c r="BB45" i="3"/>
  <c r="X39" i="3"/>
  <c r="BM75" i="3"/>
  <c r="AH75" i="3"/>
  <c r="BI65" i="3"/>
  <c r="X59" i="3"/>
  <c r="Z76" i="3"/>
  <c r="BJ75" i="3"/>
  <c r="BG65" i="3"/>
  <c r="V59" i="3"/>
  <c r="AK52" i="3"/>
  <c r="S78" i="3"/>
  <c r="AT68" i="3"/>
  <c r="AJ60" i="3"/>
  <c r="T77" i="3"/>
  <c r="BD66" i="3"/>
  <c r="O60" i="3"/>
  <c r="AD53" i="3"/>
  <c r="AZ77" i="3"/>
  <c r="T68" i="3"/>
  <c r="AH60" i="3"/>
  <c r="AC80" i="3"/>
  <c r="AG93" i="3"/>
  <c r="BD74" i="3"/>
  <c r="AF65" i="3"/>
  <c r="T91" i="3"/>
  <c r="Z74" i="3"/>
  <c r="AE65" i="3"/>
  <c r="AT76" i="3"/>
  <c r="P68" i="3"/>
  <c r="Y82" i="3"/>
  <c r="BL71" i="3"/>
  <c r="AJ85" i="3"/>
  <c r="V72" i="3"/>
  <c r="O75" i="3"/>
  <c r="N75" i="3"/>
  <c r="X61" i="3"/>
  <c r="X50" i="3"/>
  <c r="AZ40" i="3"/>
  <c r="AN33" i="3"/>
  <c r="BC26" i="3"/>
  <c r="H19" i="3"/>
  <c r="AQ12" i="3"/>
  <c r="AN56" i="3"/>
  <c r="AP47" i="3"/>
  <c r="Q38" i="3"/>
  <c r="AC31" i="3"/>
  <c r="AU23" i="3"/>
  <c r="Q17" i="3"/>
  <c r="AU60" i="3"/>
  <c r="BJ49" i="3"/>
  <c r="AX40" i="3"/>
  <c r="AL33" i="3"/>
  <c r="BA26" i="3"/>
  <c r="AE18" i="3"/>
  <c r="BI61" i="3"/>
  <c r="U50" i="3"/>
  <c r="AW40" i="3"/>
  <c r="AK33" i="3"/>
  <c r="AZ26" i="3"/>
  <c r="T61" i="3"/>
  <c r="AA66" i="3"/>
  <c r="AO53" i="3"/>
  <c r="AF63" i="3"/>
  <c r="AU52" i="3"/>
  <c r="AE59" i="3"/>
  <c r="BA49" i="3"/>
  <c r="X66" i="3"/>
  <c r="AH53" i="3"/>
  <c r="S43" i="3"/>
  <c r="BJ35" i="3"/>
  <c r="AS61" i="3"/>
  <c r="AW118" i="3"/>
  <c r="M111" i="3"/>
  <c r="T118" i="3"/>
  <c r="AZ127" i="3"/>
  <c r="AN127" i="3"/>
  <c r="BM112" i="3"/>
  <c r="N117" i="3"/>
  <c r="AM103" i="3"/>
  <c r="Z110" i="3"/>
  <c r="AF105" i="3"/>
  <c r="AR92" i="3"/>
  <c r="AK89" i="3"/>
  <c r="K101" i="3"/>
  <c r="V91" i="3"/>
  <c r="T96" i="3"/>
  <c r="AX81" i="3"/>
  <c r="L89" i="3"/>
  <c r="BJ93" i="3"/>
  <c r="M72" i="3"/>
  <c r="R87" i="3"/>
  <c r="BC86" i="3"/>
  <c r="AB95" i="3"/>
  <c r="AQ77" i="3"/>
  <c r="AR105" i="3"/>
  <c r="AY83" i="3"/>
  <c r="AU72" i="3"/>
  <c r="AX93" i="3"/>
  <c r="N93" i="3"/>
  <c r="U82" i="3"/>
  <c r="AP90" i="3"/>
  <c r="AB91" i="3"/>
  <c r="L81" i="3"/>
  <c r="M74" i="3"/>
  <c r="Z91" i="3"/>
  <c r="AH81" i="3"/>
  <c r="I94" i="3"/>
  <c r="AR83" i="3"/>
  <c r="AT75" i="3"/>
  <c r="BA91" i="3"/>
  <c r="BC81" i="3"/>
  <c r="AH96" i="3"/>
  <c r="AX84" i="3"/>
  <c r="BI90" i="3"/>
  <c r="G81" i="3"/>
  <c r="BB73" i="3"/>
  <c r="AC63" i="3"/>
  <c r="AR56" i="3"/>
  <c r="AM49" i="3"/>
  <c r="AK41" i="3"/>
  <c r="AG77" i="3"/>
  <c r="T66" i="3"/>
  <c r="BA58" i="3"/>
  <c r="AV51" i="3"/>
  <c r="AT43" i="3"/>
  <c r="BG82" i="3"/>
  <c r="T70" i="3"/>
  <c r="BE61" i="3"/>
  <c r="AZ54" i="3"/>
  <c r="V48" i="3"/>
  <c r="AN40" i="3"/>
  <c r="AD79" i="3"/>
  <c r="AJ69" i="3"/>
  <c r="P61" i="3"/>
  <c r="BD53" i="3"/>
  <c r="AH45" i="3"/>
  <c r="AW38" i="3"/>
  <c r="AI75" i="3"/>
  <c r="AJ74" i="3"/>
  <c r="AM65" i="3"/>
  <c r="AW58" i="3"/>
  <c r="BK75" i="3"/>
  <c r="AD75" i="3"/>
  <c r="AK65" i="3"/>
  <c r="AU58" i="3"/>
  <c r="Q52" i="3"/>
  <c r="BB77" i="3"/>
  <c r="V68" i="3"/>
  <c r="P60" i="3"/>
  <c r="BD76" i="3"/>
  <c r="AH66" i="3"/>
  <c r="BH59" i="3"/>
  <c r="J53" i="3"/>
  <c r="S77" i="3"/>
  <c r="BC66" i="3"/>
  <c r="N60" i="3"/>
  <c r="BD79" i="3"/>
  <c r="AN91" i="3"/>
  <c r="AA74" i="3"/>
  <c r="K65" i="3"/>
  <c r="AQ89" i="3"/>
  <c r="BL73" i="3"/>
  <c r="J65" i="3"/>
  <c r="L76" i="3"/>
  <c r="AY66" i="3"/>
  <c r="AL81" i="3"/>
  <c r="AM71" i="3"/>
  <c r="AS84" i="3"/>
  <c r="BK71" i="3"/>
  <c r="AW74" i="3"/>
  <c r="AV74" i="3"/>
  <c r="AW60" i="3"/>
  <c r="BL49" i="3"/>
  <c r="AB40" i="3"/>
  <c r="T33" i="3"/>
  <c r="AI26" i="3"/>
  <c r="BA18" i="3"/>
  <c r="W12" i="3"/>
  <c r="L56" i="3"/>
  <c r="R47" i="3"/>
  <c r="BH37" i="3"/>
  <c r="I31" i="3"/>
  <c r="AA23" i="3"/>
  <c r="BJ16" i="3"/>
  <c r="G60" i="3"/>
  <c r="AG49" i="3"/>
  <c r="Z40" i="3"/>
  <c r="R33" i="3"/>
  <c r="AG26" i="3"/>
  <c r="K18" i="3"/>
  <c r="U61" i="3"/>
  <c r="BI49" i="3"/>
  <c r="Y40" i="3"/>
  <c r="Q33" i="3"/>
  <c r="AF26" i="3"/>
  <c r="AS60" i="3"/>
  <c r="AL65" i="3"/>
  <c r="I53" i="3"/>
  <c r="BH62" i="3"/>
  <c r="P52" i="3"/>
  <c r="BI58" i="3"/>
  <c r="AA49" i="3"/>
  <c r="Z65" i="3"/>
  <c r="AS52" i="3"/>
  <c r="BJ42" i="3"/>
  <c r="AP35" i="3"/>
  <c r="AD60" i="3"/>
  <c r="AN50" i="3"/>
  <c r="H118" i="3"/>
  <c r="AK110" i="3"/>
  <c r="AO117" i="3"/>
  <c r="AK126" i="3"/>
  <c r="BK125" i="3"/>
  <c r="AX107" i="3"/>
  <c r="AA108" i="3"/>
  <c r="J100" i="3"/>
  <c r="AJ103" i="3"/>
  <c r="Q101" i="3"/>
  <c r="BM115" i="3"/>
  <c r="BH117" i="3"/>
  <c r="BB119" i="3"/>
  <c r="AI116" i="3"/>
  <c r="I93" i="3"/>
  <c r="AS78" i="3"/>
  <c r="AR87" i="3"/>
  <c r="BK92" i="3"/>
  <c r="BF71" i="3"/>
  <c r="BG86" i="3"/>
  <c r="AC86" i="3"/>
  <c r="BG94" i="3"/>
  <c r="W77" i="3"/>
  <c r="AG99" i="3"/>
  <c r="AA83" i="3"/>
  <c r="G72" i="3"/>
  <c r="O93" i="3"/>
  <c r="BA92" i="3"/>
  <c r="BI81" i="3"/>
  <c r="AZ89" i="3"/>
  <c r="AO90" i="3"/>
  <c r="BD80" i="3"/>
  <c r="BF73" i="3"/>
  <c r="BM90" i="3"/>
  <c r="K81" i="3"/>
  <c r="AP93" i="3"/>
  <c r="U83" i="3"/>
  <c r="Z75" i="3"/>
  <c r="X91" i="3"/>
  <c r="AF81" i="3"/>
  <c r="AZ95" i="3"/>
  <c r="V84" i="3"/>
  <c r="AE90" i="3"/>
  <c r="AE108" i="3"/>
  <c r="Z73" i="3"/>
  <c r="I63" i="3"/>
  <c r="X56" i="3"/>
  <c r="S49" i="3"/>
  <c r="BJ40" i="3"/>
  <c r="AJ76" i="3"/>
  <c r="BM65" i="3"/>
  <c r="AG58" i="3"/>
  <c r="AB51" i="3"/>
  <c r="Z43" i="3"/>
  <c r="T81" i="3"/>
  <c r="BI69" i="3"/>
  <c r="AK61" i="3"/>
  <c r="AF54" i="3"/>
  <c r="AU47" i="3"/>
  <c r="T40" i="3"/>
  <c r="BH78" i="3"/>
  <c r="L69" i="3"/>
  <c r="BI60" i="3"/>
  <c r="AJ53" i="3"/>
  <c r="N45" i="3"/>
  <c r="AC38" i="3"/>
  <c r="AM74" i="3"/>
  <c r="G74" i="3"/>
  <c r="R65" i="3"/>
  <c r="AC58" i="3"/>
  <c r="AE75" i="3"/>
  <c r="AH74" i="3"/>
  <c r="P65" i="3"/>
  <c r="AA58" i="3"/>
  <c r="BJ51" i="3"/>
  <c r="U77" i="3"/>
  <c r="BE66" i="3"/>
  <c r="BI59" i="3"/>
  <c r="V76" i="3"/>
  <c r="L66" i="3"/>
  <c r="AN59" i="3"/>
  <c r="BC52" i="3"/>
  <c r="AZ76" i="3"/>
  <c r="AG66" i="3"/>
  <c r="BG59" i="3"/>
  <c r="O79" i="3"/>
  <c r="BJ89" i="3"/>
  <c r="BM73" i="3"/>
  <c r="BC64" i="3"/>
  <c r="AW86" i="3"/>
  <c r="AI73" i="3"/>
  <c r="BB64" i="3"/>
  <c r="AX75" i="3"/>
  <c r="AC66" i="3"/>
  <c r="BK80" i="3"/>
  <c r="N71" i="3"/>
  <c r="BJ83" i="3"/>
  <c r="AK71" i="3"/>
  <c r="S74" i="3"/>
  <c r="P74" i="3"/>
  <c r="I60" i="3"/>
  <c r="AI49" i="3"/>
  <c r="AQ39" i="3"/>
  <c r="BM32" i="3"/>
  <c r="O26" i="3"/>
  <c r="AG18" i="3"/>
  <c r="AJ72" i="3"/>
  <c r="BC55" i="3"/>
  <c r="AT45" i="3"/>
  <c r="AM37" i="3"/>
  <c r="BB30" i="3"/>
  <c r="G23" i="3"/>
  <c r="AP16" i="3"/>
  <c r="AJ59" i="3"/>
  <c r="G49" i="3"/>
  <c r="AO39" i="3"/>
  <c r="BK32" i="3"/>
  <c r="M26" i="3"/>
  <c r="BD17" i="3"/>
  <c r="AT60" i="3"/>
  <c r="AE49" i="3"/>
  <c r="AN39" i="3"/>
  <c r="BJ32" i="3"/>
  <c r="L26" i="3"/>
  <c r="AH59" i="3"/>
  <c r="AV64" i="3"/>
  <c r="AV52" i="3"/>
  <c r="R112" i="3"/>
  <c r="BK123" i="3"/>
  <c r="BA119" i="3"/>
  <c r="BC115" i="3"/>
  <c r="BL114" i="3"/>
  <c r="AY106" i="3"/>
  <c r="N102" i="3"/>
  <c r="O96" i="3"/>
  <c r="X110" i="3"/>
  <c r="L97" i="3"/>
  <c r="BK105" i="3"/>
  <c r="AK107" i="3"/>
  <c r="AV108" i="3"/>
  <c r="T106" i="3"/>
  <c r="BA127" i="3"/>
  <c r="AX77" i="3"/>
  <c r="T87" i="3"/>
  <c r="AQ91" i="3"/>
  <c r="AL71" i="3"/>
  <c r="AE86" i="3"/>
  <c r="AL127" i="3"/>
  <c r="V94" i="3"/>
  <c r="AV76" i="3"/>
  <c r="AF98" i="3"/>
  <c r="AT82" i="3"/>
  <c r="AZ71" i="3"/>
  <c r="BB92" i="3"/>
  <c r="T92" i="3"/>
  <c r="AL114" i="3"/>
  <c r="AA89" i="3"/>
  <c r="K90" i="3"/>
  <c r="AG80" i="3"/>
  <c r="AL73" i="3"/>
  <c r="AL90" i="3"/>
  <c r="BC80" i="3"/>
  <c r="H93" i="3"/>
  <c r="BK82" i="3"/>
  <c r="AY74" i="3"/>
  <c r="BK90" i="3"/>
  <c r="I81" i="3"/>
  <c r="H95" i="3"/>
  <c r="BM83" i="3"/>
  <c r="AT89" i="3"/>
  <c r="AC101" i="3"/>
  <c r="AP72" i="3"/>
  <c r="BB62" i="3"/>
  <c r="AW55" i="3"/>
  <c r="AR48" i="3"/>
  <c r="AP40" i="3"/>
  <c r="AO75" i="3"/>
  <c r="AQ65" i="3"/>
  <c r="M58" i="3"/>
  <c r="H51" i="3"/>
  <c r="AY42" i="3"/>
  <c r="AX80" i="3"/>
  <c r="AK69" i="3"/>
  <c r="Q61" i="3"/>
  <c r="L54" i="3"/>
  <c r="AA47" i="3"/>
  <c r="BM39" i="3"/>
  <c r="AA78" i="3"/>
  <c r="BB68" i="3"/>
  <c r="AO60" i="3"/>
  <c r="P53" i="3"/>
  <c r="BG44" i="3"/>
  <c r="I38" i="3"/>
  <c r="H74" i="3"/>
  <c r="AT73" i="3"/>
  <c r="BJ64" i="3"/>
  <c r="I58" i="3"/>
  <c r="AI74" i="3"/>
  <c r="AR73" i="3"/>
  <c r="BH64" i="3"/>
  <c r="G58" i="3"/>
  <c r="AP51" i="3"/>
  <c r="BE76" i="3"/>
  <c r="AI66" i="3"/>
  <c r="AO59" i="3"/>
  <c r="BE75" i="3"/>
  <c r="BE65" i="3"/>
  <c r="T59" i="3"/>
  <c r="AI52" i="3"/>
  <c r="S76" i="3"/>
  <c r="K66" i="3"/>
  <c r="AM59" i="3"/>
  <c r="AU78" i="3"/>
  <c r="AZ86" i="3"/>
  <c r="AJ73" i="3"/>
  <c r="AH64" i="3"/>
  <c r="AT85" i="3"/>
  <c r="I73" i="3"/>
  <c r="AZ113" i="3"/>
  <c r="U75" i="3"/>
  <c r="G66" i="3"/>
  <c r="S80" i="3"/>
  <c r="BA70" i="3"/>
  <c r="V82" i="3"/>
  <c r="K71" i="3"/>
  <c r="BE73" i="3"/>
  <c r="BD73" i="3"/>
  <c r="AQ59" i="3"/>
  <c r="I49" i="3"/>
  <c r="S39" i="3"/>
  <c r="AS32" i="3"/>
  <c r="BK24" i="3"/>
  <c r="M18" i="3"/>
  <c r="J71" i="3"/>
  <c r="Y55" i="3"/>
  <c r="V45" i="3"/>
  <c r="S37" i="3"/>
  <c r="AH30" i="3"/>
  <c r="AZ22" i="3"/>
  <c r="V16" i="3"/>
  <c r="AK58" i="3"/>
  <c r="AV48" i="3"/>
  <c r="Q39" i="3"/>
  <c r="AQ32" i="3"/>
  <c r="BI24" i="3"/>
  <c r="AJ17" i="3"/>
  <c r="AI59" i="3"/>
  <c r="AU48" i="3"/>
  <c r="P39" i="3"/>
  <c r="AP32" i="3"/>
  <c r="BH24" i="3"/>
  <c r="AI58" i="3"/>
  <c r="AG63" i="3"/>
  <c r="R52" i="3"/>
  <c r="BA61" i="3"/>
  <c r="AF51" i="3"/>
  <c r="BK57" i="3"/>
  <c r="AQ111" i="3"/>
  <c r="H123" i="3"/>
  <c r="BG118" i="3"/>
  <c r="AQ114" i="3"/>
  <c r="N114" i="3"/>
  <c r="H103" i="3"/>
  <c r="Z101" i="3"/>
  <c r="AL95" i="3"/>
  <c r="AT107" i="3"/>
  <c r="AE96" i="3"/>
  <c r="BJ104" i="3"/>
  <c r="BH105" i="3"/>
  <c r="BI106" i="3"/>
  <c r="R105" i="3"/>
  <c r="AC124" i="3"/>
  <c r="AD77" i="3"/>
  <c r="BI86" i="3"/>
  <c r="AQ87" i="3"/>
  <c r="R71" i="3"/>
  <c r="G86" i="3"/>
  <c r="BI112" i="3"/>
  <c r="BA93" i="3"/>
  <c r="AB76" i="3"/>
  <c r="BD96" i="3"/>
  <c r="W82" i="3"/>
  <c r="L71" i="3"/>
  <c r="U92" i="3"/>
  <c r="BH91" i="3"/>
  <c r="J105" i="3"/>
  <c r="BF87" i="3"/>
  <c r="AY89" i="3"/>
  <c r="J80" i="3"/>
  <c r="R73" i="3"/>
  <c r="J90" i="3"/>
  <c r="AF80" i="3"/>
  <c r="AU92" i="3"/>
  <c r="AN82" i="3"/>
  <c r="AE74" i="3"/>
  <c r="AH90" i="3"/>
  <c r="BA80" i="3"/>
  <c r="AQ94" i="3"/>
  <c r="AP83" i="3"/>
  <c r="P89" i="3"/>
  <c r="AM92" i="3"/>
  <c r="R72" i="3"/>
  <c r="AH62" i="3"/>
  <c r="I55" i="3"/>
  <c r="X48" i="3"/>
  <c r="V40" i="3"/>
  <c r="I75" i="3"/>
  <c r="V65" i="3"/>
  <c r="BF57" i="3"/>
  <c r="BA50" i="3"/>
  <c r="AE42" i="3"/>
  <c r="AE79" i="3"/>
  <c r="M69" i="3"/>
  <c r="BJ60" i="3"/>
  <c r="BE53" i="3"/>
  <c r="G47" i="3"/>
  <c r="AS39" i="3"/>
  <c r="BL77" i="3"/>
  <c r="AC68" i="3"/>
  <c r="U60" i="3"/>
  <c r="BI52" i="3"/>
  <c r="AM44" i="3"/>
  <c r="AR104" i="3"/>
  <c r="AU73" i="3"/>
  <c r="S73" i="3"/>
  <c r="AO64" i="3"/>
  <c r="BB57" i="3"/>
  <c r="AS73" i="3"/>
  <c r="P73" i="3"/>
  <c r="AM64" i="3"/>
  <c r="AZ57" i="3"/>
  <c r="V51" i="3"/>
  <c r="X76" i="3"/>
  <c r="M66" i="3"/>
  <c r="U59" i="3"/>
  <c r="AA75" i="3"/>
  <c r="AI65" i="3"/>
  <c r="BM58" i="3"/>
  <c r="O52" i="3"/>
  <c r="BD75" i="3"/>
  <c r="BD65" i="3"/>
  <c r="S59" i="3"/>
  <c r="N78" i="3"/>
  <c r="AU85" i="3"/>
  <c r="K73" i="3"/>
  <c r="L64" i="3"/>
  <c r="BE84" i="3"/>
  <c r="AY72" i="3"/>
  <c r="S91" i="3"/>
  <c r="BB74" i="3"/>
  <c r="AZ65" i="3"/>
  <c r="AS79" i="3"/>
  <c r="AC70" i="3"/>
  <c r="AJ81" i="3"/>
  <c r="N89" i="3"/>
  <c r="AE73" i="3"/>
  <c r="AC73" i="3"/>
  <c r="AM58" i="3"/>
  <c r="AX48" i="3"/>
  <c r="BJ38" i="3"/>
  <c r="Y32" i="3"/>
  <c r="AQ24" i="3"/>
  <c r="BF17" i="3"/>
  <c r="P70" i="3"/>
  <c r="BK54" i="3"/>
  <c r="BK44" i="3"/>
  <c r="BL36" i="3"/>
  <c r="N30" i="3"/>
  <c r="AF22" i="3"/>
  <c r="AU15" i="3"/>
  <c r="AN57" i="3"/>
  <c r="T48" i="3"/>
  <c r="BH38" i="3"/>
  <c r="BE124" i="3"/>
  <c r="AC116" i="3"/>
  <c r="BM110" i="3"/>
  <c r="BG106" i="3"/>
  <c r="K106" i="3"/>
  <c r="AE123" i="3"/>
  <c r="BL100" i="3"/>
  <c r="P95" i="3"/>
  <c r="G107" i="3"/>
  <c r="J96" i="3"/>
  <c r="AB104" i="3"/>
  <c r="X105" i="3"/>
  <c r="W106" i="3"/>
  <c r="AW104" i="3"/>
  <c r="AH115" i="3"/>
  <c r="T75" i="3"/>
  <c r="AI86" i="3"/>
  <c r="S87" i="3"/>
  <c r="H69" i="3"/>
  <c r="AU98" i="3"/>
  <c r="AZ97" i="3"/>
  <c r="AT90" i="3"/>
  <c r="H76" i="3"/>
  <c r="AA95" i="3"/>
  <c r="BM81" i="3"/>
  <c r="BE70" i="3"/>
  <c r="BI91" i="3"/>
  <c r="AQ90" i="3"/>
  <c r="AP103" i="3"/>
  <c r="AH87" i="3"/>
  <c r="Z89" i="3"/>
  <c r="AY79" i="3"/>
  <c r="Z111" i="3"/>
  <c r="AX89" i="3"/>
  <c r="I80" i="3"/>
  <c r="O92" i="3"/>
  <c r="O82" i="3"/>
  <c r="K74" i="3"/>
  <c r="H90" i="3"/>
  <c r="AD80" i="3"/>
  <c r="AJ93" i="3"/>
  <c r="S83" i="3"/>
  <c r="AX87" i="3"/>
  <c r="W87" i="3"/>
  <c r="BE71" i="3"/>
  <c r="O124" i="3"/>
  <c r="AX115" i="3"/>
  <c r="Q110" i="3"/>
  <c r="O106" i="3"/>
  <c r="AD105" i="3"/>
  <c r="AA122" i="3"/>
  <c r="BL97" i="3"/>
  <c r="AW92" i="3"/>
  <c r="AW101" i="3"/>
  <c r="BH93" i="3"/>
  <c r="BD100" i="3"/>
  <c r="AP101" i="3"/>
  <c r="BD102" i="3"/>
  <c r="AH101" i="3"/>
  <c r="BC113" i="3"/>
  <c r="AS74" i="3"/>
  <c r="BH83" i="3"/>
  <c r="BH86" i="3"/>
  <c r="AG68" i="3"/>
  <c r="BL96" i="3"/>
  <c r="AC95" i="3"/>
  <c r="BD89" i="3"/>
  <c r="BA75" i="3"/>
  <c r="BF94" i="3"/>
  <c r="N80" i="3"/>
  <c r="AK70" i="3"/>
  <c r="AG91" i="3"/>
  <c r="BA89" i="3"/>
  <c r="R100" i="3"/>
  <c r="G105" i="3"/>
  <c r="BE87" i="3"/>
  <c r="AB79" i="3"/>
  <c r="K103" i="3"/>
  <c r="W89" i="3"/>
  <c r="AX79" i="3"/>
  <c r="BD91" i="3"/>
  <c r="BD81" i="3"/>
  <c r="AD129" i="3"/>
  <c r="AV89" i="3"/>
  <c r="AU79" i="3"/>
  <c r="AO92" i="3"/>
  <c r="BI82" i="3"/>
  <c r="X87" i="3"/>
  <c r="W86" i="3"/>
  <c r="G71" i="3"/>
  <c r="AM61" i="3"/>
  <c r="AH54" i="3"/>
  <c r="AC47" i="3"/>
  <c r="AA39" i="3"/>
  <c r="L74" i="3"/>
  <c r="X64" i="3"/>
  <c r="R57" i="3"/>
  <c r="M50" i="3"/>
  <c r="BD41" i="3"/>
  <c r="AB78" i="3"/>
  <c r="AD68" i="3"/>
  <c r="V60" i="3"/>
  <c r="Q53" i="3"/>
  <c r="AI45" i="3"/>
  <c r="AX38" i="3"/>
  <c r="BM76" i="3"/>
  <c r="AN66" i="3"/>
  <c r="Z59" i="3"/>
  <c r="U52" i="3"/>
  <c r="BL43" i="3"/>
  <c r="H92" i="3"/>
  <c r="AC90" i="3"/>
  <c r="AK72" i="3"/>
  <c r="BL63" i="3"/>
  <c r="N57" i="3"/>
  <c r="M84" i="3"/>
  <c r="AH72" i="3"/>
  <c r="BJ63" i="3"/>
  <c r="L57" i="3"/>
  <c r="AA50" i="3"/>
  <c r="AC75" i="3"/>
  <c r="AJ65" i="3"/>
  <c r="U96" i="3"/>
  <c r="AD74" i="3"/>
  <c r="BF64" i="3"/>
  <c r="Y58" i="3"/>
  <c r="AN51" i="3"/>
  <c r="BH74" i="3"/>
  <c r="M65" i="3"/>
  <c r="AR58" i="3"/>
  <c r="Q77" i="3"/>
  <c r="P83" i="3"/>
  <c r="Z72" i="3"/>
  <c r="AK63" i="3"/>
  <c r="AA82" i="3"/>
  <c r="AP71" i="3"/>
  <c r="AU86" i="3"/>
  <c r="BI73" i="3"/>
  <c r="I65" i="3"/>
  <c r="AN78" i="3"/>
  <c r="T69" i="3"/>
  <c r="R80" i="3"/>
  <c r="AD86" i="3"/>
  <c r="AO87" i="3"/>
  <c r="T72" i="3"/>
  <c r="AS56" i="3"/>
  <c r="AQ47" i="3"/>
  <c r="R38" i="3"/>
  <c r="AD31" i="3"/>
  <c r="AV23" i="3"/>
  <c r="R17" i="3"/>
  <c r="Z68" i="3"/>
  <c r="AS53" i="3"/>
  <c r="K44" i="3"/>
  <c r="X36" i="3"/>
  <c r="AM29" i="3"/>
  <c r="BE21" i="3"/>
  <c r="AU74" i="3"/>
  <c r="K56" i="3"/>
  <c r="AO47" i="3"/>
  <c r="P38" i="3"/>
  <c r="AB31" i="3"/>
  <c r="AT23" i="3"/>
  <c r="AO16" i="3"/>
  <c r="AL56" i="3"/>
  <c r="AN47" i="3"/>
  <c r="O38" i="3"/>
  <c r="AA31" i="3"/>
  <c r="BM23" i="3"/>
  <c r="AZ117" i="3"/>
  <c r="T108" i="3"/>
  <c r="Y102" i="3"/>
  <c r="I100" i="3"/>
  <c r="AD99" i="3"/>
  <c r="AK118" i="3"/>
  <c r="AN94" i="3"/>
  <c r="AR89" i="3"/>
  <c r="AJ97" i="3"/>
  <c r="AI90" i="3"/>
  <c r="AY96" i="3"/>
  <c r="AE97" i="3"/>
  <c r="AD98" i="3"/>
  <c r="AQ96" i="3"/>
  <c r="AS105" i="3"/>
  <c r="BH71" i="3"/>
  <c r="N83" i="3"/>
  <c r="AF86" i="3"/>
  <c r="BI66" i="3"/>
  <c r="AI95" i="3"/>
  <c r="W94" i="3"/>
  <c r="BJ87" i="3"/>
  <c r="R74" i="3"/>
  <c r="U94" i="3"/>
  <c r="AH79" i="3"/>
  <c r="Q70" i="3"/>
  <c r="Q90" i="3"/>
  <c r="AB89" i="3"/>
  <c r="Y99" i="3"/>
  <c r="Q103" i="3"/>
  <c r="AE87" i="3"/>
  <c r="H79" i="3"/>
  <c r="BJ101" i="3"/>
  <c r="BD87" i="3"/>
  <c r="AA79" i="3"/>
  <c r="Y91" i="3"/>
  <c r="AG81" i="3"/>
  <c r="U119" i="3"/>
  <c r="S89" i="3"/>
  <c r="Y79" i="3"/>
  <c r="M92" i="3"/>
  <c r="AJ82" i="3"/>
  <c r="BM86" i="3"/>
  <c r="AJ84" i="3"/>
  <c r="AV70" i="3"/>
  <c r="S61" i="3"/>
  <c r="N54" i="3"/>
  <c r="I47" i="3"/>
  <c r="G39" i="3"/>
  <c r="BA73" i="3"/>
  <c r="AV63" i="3"/>
  <c r="BK56" i="3"/>
  <c r="BF49" i="3"/>
  <c r="AJ41" i="3"/>
  <c r="BM77" i="3"/>
  <c r="BM66" i="3"/>
  <c r="AU59" i="3"/>
  <c r="BJ52" i="3"/>
  <c r="O45" i="3"/>
  <c r="AD38" i="3"/>
  <c r="AE76" i="3"/>
  <c r="R66" i="3"/>
  <c r="AY58" i="3"/>
  <c r="AT51" i="3"/>
  <c r="AR43" i="3"/>
  <c r="AD90" i="3"/>
  <c r="O84" i="3"/>
  <c r="K72" i="3"/>
  <c r="AR63" i="3"/>
  <c r="X90" i="3"/>
  <c r="AE83" i="3"/>
  <c r="I72" i="3"/>
  <c r="AP63" i="3"/>
  <c r="BE56" i="3"/>
  <c r="G50" i="3"/>
  <c r="BJ74" i="3"/>
  <c r="O65" i="3"/>
  <c r="BL86" i="3"/>
  <c r="AN73" i="3"/>
  <c r="AK64" i="3"/>
  <c r="AX57" i="3"/>
  <c r="BD93" i="3"/>
  <c r="AC74" i="3"/>
  <c r="BE64" i="3"/>
  <c r="X58" i="3"/>
  <c r="AY76" i="3"/>
  <c r="AB82" i="3"/>
  <c r="AQ71" i="3"/>
  <c r="Q63" i="3"/>
  <c r="AS81" i="3"/>
  <c r="P71" i="3"/>
  <c r="AS85" i="3"/>
  <c r="AH73" i="3"/>
  <c r="AZ64" i="3"/>
  <c r="L117" i="3"/>
  <c r="AS107" i="3"/>
  <c r="AD101" i="3"/>
  <c r="AH99" i="3"/>
  <c r="BC98" i="3"/>
  <c r="AU113" i="3"/>
  <c r="BM93" i="3"/>
  <c r="AZ87" i="3"/>
  <c r="BC96" i="3"/>
  <c r="BH89" i="3"/>
  <c r="H96" i="3"/>
  <c r="AA96" i="3"/>
  <c r="AY97" i="3"/>
  <c r="AS95" i="3"/>
  <c r="AS104" i="3"/>
  <c r="AN71" i="3"/>
  <c r="BL79" i="3"/>
  <c r="H86" i="3"/>
  <c r="AO66" i="3"/>
  <c r="BM94" i="3"/>
  <c r="BB93" i="3"/>
  <c r="AL87" i="3"/>
  <c r="AQ73" i="3"/>
  <c r="AY93" i="3"/>
  <c r="BE78" i="3"/>
  <c r="BJ69" i="3"/>
  <c r="BH87" i="3"/>
  <c r="BG87" i="3"/>
  <c r="W98" i="3"/>
  <c r="N100" i="3"/>
  <c r="AT86" i="3"/>
  <c r="BA78" i="3"/>
  <c r="M100" i="3"/>
  <c r="AD87" i="3"/>
  <c r="G79" i="3"/>
  <c r="BL90" i="3"/>
  <c r="J81" i="3"/>
  <c r="U116" i="3"/>
  <c r="BB87" i="3"/>
  <c r="AX78" i="3"/>
  <c r="AZ91" i="3"/>
  <c r="BJ113" i="3"/>
  <c r="O86" i="3"/>
  <c r="BC83" i="3"/>
  <c r="V70" i="3"/>
  <c r="BL60" i="3"/>
  <c r="BG53" i="3"/>
  <c r="BE45" i="3"/>
  <c r="AB101" i="3"/>
  <c r="Y73" i="3"/>
  <c r="AB63" i="3"/>
  <c r="AQ56" i="3"/>
  <c r="AL49" i="3"/>
  <c r="P41" i="3"/>
  <c r="AF77" i="3"/>
  <c r="AP66" i="3"/>
  <c r="AA59" i="3"/>
  <c r="AP52" i="3"/>
  <c r="BH44" i="3"/>
  <c r="J38" i="3"/>
  <c r="AJ75" i="3"/>
  <c r="BK65" i="3"/>
  <c r="AE58" i="3"/>
  <c r="Z51" i="3"/>
  <c r="X43" i="3"/>
  <c r="S84" i="3"/>
  <c r="AI83" i="3"/>
  <c r="AX71" i="3"/>
  <c r="X63" i="3"/>
  <c r="N84" i="3"/>
  <c r="AV82" i="3"/>
  <c r="AV71" i="3"/>
  <c r="V63" i="3"/>
  <c r="AK56" i="3"/>
  <c r="AZ49" i="3"/>
  <c r="AF74" i="3"/>
  <c r="BG64" i="3"/>
  <c r="BL85" i="3"/>
  <c r="N73" i="3"/>
  <c r="P64" i="3"/>
  <c r="AD57" i="3"/>
  <c r="AV91" i="3"/>
  <c r="AM73" i="3"/>
  <c r="AJ64" i="3"/>
  <c r="AW57" i="3"/>
  <c r="R76" i="3"/>
  <c r="AT81" i="3"/>
  <c r="Q71" i="3"/>
  <c r="BJ62" i="3"/>
  <c r="Y80" i="3"/>
  <c r="BC70" i="3"/>
  <c r="BC84" i="3"/>
  <c r="G73" i="3"/>
  <c r="AE64" i="3"/>
  <c r="AR77" i="3"/>
  <c r="AM68" i="3"/>
  <c r="AM78" i="3"/>
  <c r="AM84" i="3"/>
  <c r="AB85" i="3"/>
  <c r="AL72" i="3"/>
  <c r="BD55" i="3"/>
  <c r="AU45" i="3"/>
  <c r="AN37" i="3"/>
  <c r="BC30" i="3"/>
  <c r="H23" i="3"/>
  <c r="AQ16" i="3"/>
  <c r="I126" i="3"/>
  <c r="BK128" i="3"/>
  <c r="AV126" i="3"/>
  <c r="S118" i="3"/>
  <c r="AO123" i="3"/>
  <c r="BL112" i="3"/>
  <c r="AS93" i="3"/>
  <c r="AF87" i="3"/>
  <c r="AG96" i="3"/>
  <c r="AN89" i="3"/>
  <c r="AC128" i="3"/>
  <c r="AX95" i="3"/>
  <c r="Z97" i="3"/>
  <c r="X95" i="3"/>
  <c r="M104" i="3"/>
  <c r="T71" i="3"/>
  <c r="AO79" i="3"/>
  <c r="AJ83" i="3"/>
  <c r="AE115" i="3"/>
  <c r="R102" i="3"/>
  <c r="BM91" i="3"/>
  <c r="AR85" i="3"/>
  <c r="AV72" i="3"/>
  <c r="P93" i="3"/>
  <c r="AK78" i="3"/>
  <c r="AP69" i="3"/>
  <c r="R107" i="3"/>
  <c r="AI87" i="3"/>
  <c r="AK97" i="3"/>
  <c r="X99" i="3"/>
  <c r="V86" i="3"/>
  <c r="AG78" i="3"/>
  <c r="M99" i="3"/>
  <c r="AS86" i="3"/>
  <c r="AK129" i="3"/>
  <c r="AK90" i="3"/>
  <c r="BB80" i="3"/>
  <c r="R111" i="3"/>
  <c r="Z87" i="3"/>
  <c r="AD78" i="3"/>
  <c r="W91" i="3"/>
  <c r="AU106" i="3"/>
  <c r="BB85" i="3"/>
  <c r="I82" i="3"/>
  <c r="BM69" i="3"/>
  <c r="AR60" i="3"/>
  <c r="AM53" i="3"/>
  <c r="AK45" i="3"/>
  <c r="AL92" i="3"/>
  <c r="BM72" i="3"/>
  <c r="H63" i="3"/>
  <c r="W56" i="3"/>
  <c r="R49" i="3"/>
  <c r="BI40" i="3"/>
  <c r="AF76" i="3"/>
  <c r="S66" i="3"/>
  <c r="G59" i="3"/>
  <c r="V52" i="3"/>
  <c r="AN44" i="3"/>
  <c r="BC37" i="3"/>
  <c r="AN74" i="3"/>
  <c r="AO65" i="3"/>
  <c r="K58" i="3"/>
  <c r="AY50" i="3"/>
  <c r="AW42" i="3"/>
  <c r="AM83" i="3"/>
  <c r="AX82" i="3"/>
  <c r="Z71" i="3"/>
  <c r="AW62" i="3"/>
  <c r="AH83" i="3"/>
  <c r="BH81" i="3"/>
  <c r="X71" i="3"/>
  <c r="AU62" i="3"/>
  <c r="Q56" i="3"/>
  <c r="AF49" i="3"/>
  <c r="AO73" i="3"/>
  <c r="AL64" i="3"/>
  <c r="BM84" i="3"/>
  <c r="BE72" i="3"/>
  <c r="BH63" i="3"/>
  <c r="J57" i="3"/>
  <c r="BK86" i="3"/>
  <c r="M73" i="3"/>
  <c r="O64" i="3"/>
  <c r="AC57" i="3"/>
  <c r="BC75" i="3"/>
  <c r="Z80" i="3"/>
  <c r="BD70" i="3"/>
  <c r="AP62" i="3"/>
  <c r="BB79" i="3"/>
  <c r="AE70" i="3"/>
  <c r="H83" i="3"/>
  <c r="AX72" i="3"/>
  <c r="J64" i="3"/>
  <c r="K77" i="3"/>
  <c r="N68" i="3"/>
  <c r="AO77" i="3"/>
  <c r="BF83" i="3"/>
  <c r="AL84" i="3"/>
  <c r="Y71" i="3"/>
  <c r="AD55" i="3"/>
  <c r="W45" i="3"/>
  <c r="T37" i="3"/>
  <c r="AI30" i="3"/>
  <c r="AG125" i="3"/>
  <c r="H128" i="3"/>
  <c r="AQ125" i="3"/>
  <c r="AA117" i="3"/>
  <c r="BM121" i="3"/>
  <c r="AC108" i="3"/>
  <c r="O91" i="3"/>
  <c r="V85" i="3"/>
  <c r="P94" i="3"/>
  <c r="M86" i="3"/>
  <c r="BL115" i="3"/>
  <c r="AW117" i="3"/>
  <c r="H94" i="3"/>
  <c r="AL115" i="3"/>
  <c r="AO100" i="3"/>
  <c r="BM70" i="3"/>
  <c r="S79" i="3"/>
  <c r="AZ82" i="3"/>
  <c r="AM110" i="3"/>
  <c r="AW99" i="3"/>
  <c r="AL91" i="3"/>
  <c r="P85" i="3"/>
  <c r="AB72" i="3"/>
  <c r="BC92" i="3"/>
  <c r="BJ77" i="3"/>
  <c r="V69" i="3"/>
  <c r="P105" i="3"/>
  <c r="G87" i="3"/>
  <c r="AP96" i="3"/>
  <c r="U98" i="3"/>
  <c r="BI85" i="3"/>
  <c r="M78" i="3"/>
  <c r="R98" i="3"/>
  <c r="U86" i="3"/>
  <c r="V119" i="3"/>
  <c r="I90" i="3"/>
  <c r="AE80" i="3"/>
  <c r="BC101" i="3"/>
  <c r="AQ86" i="3"/>
  <c r="J78" i="3"/>
  <c r="AG90" i="3"/>
  <c r="AG101" i="3"/>
  <c r="AD85" i="3"/>
  <c r="X81" i="3"/>
  <c r="AM69" i="3"/>
  <c r="X60" i="3"/>
  <c r="S53" i="3"/>
  <c r="Q45" i="3"/>
  <c r="BF90" i="3"/>
  <c r="AO72" i="3"/>
  <c r="BA62" i="3"/>
  <c r="AV55" i="3"/>
  <c r="BK48" i="3"/>
  <c r="AO40" i="3"/>
  <c r="AK75" i="3"/>
  <c r="BL65" i="3"/>
  <c r="AZ58" i="3"/>
  <c r="AU51" i="3"/>
  <c r="T44" i="3"/>
  <c r="AU104" i="3"/>
  <c r="I74" i="3"/>
  <c r="T65" i="3"/>
  <c r="BD57" i="3"/>
  <c r="AE50" i="3"/>
  <c r="AC42" i="3"/>
  <c r="AY82" i="3"/>
  <c r="N81" i="3"/>
  <c r="AO70" i="3"/>
  <c r="AC62" i="3"/>
  <c r="AW82" i="3"/>
  <c r="H81" i="3"/>
  <c r="BL70" i="3"/>
  <c r="AA62" i="3"/>
  <c r="BJ55" i="3"/>
  <c r="L49" i="3"/>
  <c r="O73" i="3"/>
  <c r="Q64" i="3"/>
  <c r="I84" i="3"/>
  <c r="AE72" i="3"/>
  <c r="AN63" i="3"/>
  <c r="BC56" i="3"/>
  <c r="BA85" i="3"/>
  <c r="BD72" i="3"/>
  <c r="BG63" i="3"/>
  <c r="I57" i="3"/>
  <c r="X75" i="3"/>
  <c r="BC79" i="3"/>
  <c r="AF70" i="3"/>
  <c r="V62" i="3"/>
  <c r="K79" i="3"/>
  <c r="G70" i="3"/>
  <c r="Z82" i="3"/>
  <c r="X72" i="3"/>
  <c r="AS113" i="3"/>
  <c r="AS76" i="3"/>
  <c r="AX66" i="3"/>
  <c r="G77" i="3"/>
  <c r="T82" i="3"/>
  <c r="BE83" i="3"/>
  <c r="X70" i="3"/>
  <c r="BL54" i="3"/>
  <c r="BL44" i="3"/>
  <c r="BM36" i="3"/>
  <c r="O30" i="3"/>
  <c r="AN129" i="3"/>
  <c r="AJ119" i="3"/>
  <c r="AI115" i="3"/>
  <c r="T124" i="3"/>
  <c r="S112" i="3"/>
  <c r="BE122" i="3"/>
  <c r="R86" i="3"/>
  <c r="V81" i="3"/>
  <c r="BI89" i="3"/>
  <c r="Y113" i="3"/>
  <c r="Y105" i="3"/>
  <c r="BG105" i="3"/>
  <c r="AE111" i="3"/>
  <c r="AK115" i="3"/>
  <c r="N106" i="3"/>
  <c r="AI68" i="3"/>
  <c r="AR78" i="3"/>
  <c r="R79" i="3"/>
  <c r="AO102" i="3"/>
  <c r="BA97" i="3"/>
  <c r="AU90" i="3"/>
  <c r="AI84" i="3"/>
  <c r="AG71" i="3"/>
  <c r="BK91" i="3"/>
  <c r="V77" i="3"/>
  <c r="AA68" i="3"/>
  <c r="AH100" i="3"/>
  <c r="X86" i="3"/>
  <c r="T95" i="3"/>
  <c r="AN96" i="3"/>
  <c r="K85" i="3"/>
  <c r="AL77" i="3"/>
  <c r="AM96" i="3"/>
  <c r="AH85" i="3"/>
  <c r="I103" i="3"/>
  <c r="V89" i="3"/>
  <c r="Z79" i="3"/>
  <c r="I98" i="3"/>
  <c r="AF85" i="3"/>
  <c r="O77" i="3"/>
  <c r="AU89" i="3"/>
  <c r="Z96" i="3"/>
  <c r="U84" i="3"/>
  <c r="L80" i="3"/>
  <c r="BF68" i="3"/>
  <c r="AC59" i="3"/>
  <c r="AR52" i="3"/>
  <c r="AP44" i="3"/>
  <c r="L86" i="3"/>
  <c r="BD71" i="3"/>
  <c r="M62" i="3"/>
  <c r="H55" i="3"/>
  <c r="W48" i="3"/>
  <c r="AT39" i="3"/>
  <c r="AO74" i="3"/>
  <c r="U65" i="3"/>
  <c r="L58" i="3"/>
  <c r="G51" i="3"/>
  <c r="AS43" i="3"/>
  <c r="K92" i="3"/>
  <c r="U73" i="3"/>
  <c r="AQ64" i="3"/>
  <c r="P57" i="3"/>
  <c r="BD49" i="3"/>
  <c r="BB41" i="3"/>
  <c r="AP80" i="3"/>
  <c r="AY123" i="3"/>
  <c r="AD112" i="3"/>
  <c r="AO126" i="3"/>
  <c r="BF113" i="3"/>
  <c r="AC104" i="3"/>
  <c r="BK118" i="3"/>
  <c r="BK85" i="3"/>
  <c r="AU80" i="3"/>
  <c r="AO89" i="3"/>
  <c r="AK112" i="3"/>
  <c r="BI104" i="3"/>
  <c r="W105" i="3"/>
  <c r="AY110" i="3"/>
  <c r="BI113" i="3"/>
  <c r="AZ102" i="3"/>
  <c r="BK66" i="3"/>
  <c r="AH76" i="3"/>
  <c r="BK78" i="3"/>
  <c r="BC99" i="3"/>
  <c r="BI96" i="3"/>
  <c r="V90" i="3"/>
  <c r="K84" i="3"/>
  <c r="M71" i="3"/>
  <c r="AD89" i="3"/>
  <c r="AU76" i="3"/>
  <c r="O117" i="3"/>
  <c r="AA98" i="3"/>
  <c r="BM85" i="3"/>
  <c r="AY94" i="3"/>
  <c r="BJ95" i="3"/>
  <c r="BB84" i="3"/>
  <c r="R77" i="3"/>
  <c r="BI95" i="3"/>
  <c r="J85" i="3"/>
  <c r="BD101" i="3"/>
  <c r="BC87" i="3"/>
  <c r="AY78" i="3"/>
  <c r="AI96" i="3"/>
  <c r="H85" i="3"/>
  <c r="BH76" i="3"/>
  <c r="R89" i="3"/>
  <c r="AW95" i="3"/>
  <c r="BL83" i="3"/>
  <c r="AK79" i="3"/>
  <c r="AF68" i="3"/>
  <c r="I59" i="3"/>
  <c r="X52" i="3"/>
  <c r="V44" i="3"/>
  <c r="Q85" i="3"/>
  <c r="AD71" i="3"/>
  <c r="BF61" i="3"/>
  <c r="BA54" i="3"/>
  <c r="AV47" i="3"/>
  <c r="Z39" i="3"/>
  <c r="J74" i="3"/>
  <c r="BM64" i="3"/>
  <c r="AK57" i="3"/>
  <c r="AZ50" i="3"/>
  <c r="Y43" i="3"/>
  <c r="AW90" i="3"/>
  <c r="BK72" i="3"/>
  <c r="V64" i="3"/>
  <c r="BI56" i="3"/>
  <c r="AJ49" i="3"/>
  <c r="AH41" i="3"/>
  <c r="AC79" i="3"/>
  <c r="BD78" i="3"/>
  <c r="AH69" i="3"/>
  <c r="AH61" i="3"/>
  <c r="AN80" i="3"/>
  <c r="V79" i="3"/>
  <c r="BD69" i="3"/>
  <c r="AF61" i="3"/>
  <c r="AU54" i="3"/>
  <c r="AD83" i="3"/>
  <c r="AU71" i="3"/>
  <c r="U63" i="3"/>
  <c r="AZ81" i="3"/>
  <c r="BI70" i="3"/>
  <c r="AS62" i="3"/>
  <c r="BH55" i="3"/>
  <c r="AG82" i="3"/>
  <c r="U71" i="3"/>
  <c r="BL62" i="3"/>
  <c r="AT91" i="3"/>
  <c r="AK73" i="3"/>
  <c r="L78" i="3"/>
  <c r="Y69" i="3"/>
  <c r="G61" i="3"/>
  <c r="AT77" i="3"/>
  <c r="BM68" i="3"/>
  <c r="W80" i="3"/>
  <c r="O71" i="3"/>
  <c r="AH89" i="3"/>
  <c r="Q75" i="3"/>
  <c r="AC65" i="3"/>
  <c r="AU75" i="3"/>
  <c r="Q80" i="3"/>
  <c r="BF80" i="3"/>
  <c r="I123" i="3"/>
  <c r="BA111" i="3"/>
  <c r="AD124" i="3"/>
  <c r="AU112" i="3"/>
  <c r="AZ103" i="3"/>
  <c r="AT113" i="3"/>
  <c r="AG83" i="3"/>
  <c r="AX122" i="3"/>
  <c r="N86" i="3"/>
  <c r="BM105" i="3"/>
  <c r="N101" i="3"/>
  <c r="AM101" i="3"/>
  <c r="AY104" i="3"/>
  <c r="H112" i="3"/>
  <c r="V101" i="3"/>
  <c r="M64" i="3"/>
  <c r="BG75" i="3"/>
  <c r="AQ78" i="3"/>
  <c r="AX98" i="3"/>
  <c r="AE95" i="3"/>
  <c r="BF89" i="3"/>
  <c r="BB83" i="3"/>
  <c r="BF70" i="3"/>
  <c r="AK87" i="3"/>
  <c r="AA76" i="3"/>
  <c r="AQ105" i="3"/>
  <c r="AL97" i="3"/>
  <c r="AK85" i="3"/>
  <c r="M94" i="3"/>
  <c r="S95" i="3"/>
  <c r="AD84" i="3"/>
  <c r="BK76" i="3"/>
  <c r="O95" i="3"/>
  <c r="BA84" i="3"/>
  <c r="H100" i="3"/>
  <c r="AA87" i="3"/>
  <c r="K78" i="3"/>
  <c r="BD95" i="3"/>
  <c r="AY84" i="3"/>
  <c r="AN76" i="3"/>
  <c r="AY87" i="3"/>
  <c r="G95" i="3"/>
  <c r="AO83" i="3"/>
  <c r="AF78" i="3"/>
  <c r="AS66" i="3"/>
  <c r="BB58" i="3"/>
  <c r="AW51" i="3"/>
  <c r="AU43" i="3"/>
  <c r="AG84" i="3"/>
  <c r="AU70" i="3"/>
  <c r="AL61" i="3"/>
  <c r="AG54" i="3"/>
  <c r="AB47" i="3"/>
  <c r="N97" i="3"/>
  <c r="AZ73" i="3"/>
  <c r="W64" i="3"/>
  <c r="Q57" i="3"/>
  <c r="AF50" i="3"/>
  <c r="AX42" i="3"/>
  <c r="J87" i="3"/>
  <c r="AM72" i="3"/>
  <c r="AT63" i="3"/>
  <c r="AO56" i="3"/>
  <c r="P49" i="3"/>
  <c r="N41" i="3"/>
  <c r="BG78" i="3"/>
  <c r="V78" i="3"/>
  <c r="I69" i="3"/>
  <c r="N61" i="3"/>
  <c r="W79" i="3"/>
  <c r="BB78" i="3"/>
  <c r="AF69" i="3"/>
  <c r="L61" i="3"/>
  <c r="AA54" i="3"/>
  <c r="AS82" i="3"/>
  <c r="W71" i="3"/>
  <c r="AT62" i="3"/>
  <c r="AI80" i="3"/>
  <c r="AI70" i="3"/>
  <c r="Y62" i="3"/>
  <c r="AN55" i="3"/>
  <c r="AY81" i="3"/>
  <c r="S128" i="3"/>
  <c r="AR129" i="3"/>
  <c r="AG115" i="3"/>
  <c r="P128" i="3"/>
  <c r="U126" i="3"/>
  <c r="BK112" i="3"/>
  <c r="H80" i="3"/>
  <c r="AE110" i="3"/>
  <c r="BB82" i="3"/>
  <c r="BE100" i="3"/>
  <c r="H97" i="3"/>
  <c r="BB118" i="3"/>
  <c r="T100" i="3"/>
  <c r="Q106" i="3"/>
  <c r="G92" i="3"/>
  <c r="AR121" i="3"/>
  <c r="S75" i="3"/>
  <c r="W78" i="3"/>
  <c r="AA93" i="3"/>
  <c r="AE92" i="3"/>
  <c r="Y127" i="3"/>
  <c r="AB83" i="3"/>
  <c r="AL70" i="3"/>
  <c r="AX86" i="3"/>
  <c r="G76" i="3"/>
  <c r="AM100" i="3"/>
  <c r="AU96" i="3"/>
  <c r="M85" i="3"/>
  <c r="AU93" i="3"/>
  <c r="AX94" i="3"/>
  <c r="AT83" i="3"/>
  <c r="AQ76" i="3"/>
  <c r="AU94" i="3"/>
  <c r="AC84" i="3"/>
  <c r="H99" i="3"/>
  <c r="T86" i="3"/>
  <c r="BD77" i="3"/>
  <c r="J95" i="3"/>
  <c r="Y84" i="3"/>
  <c r="T76" i="3"/>
  <c r="Y87" i="3"/>
  <c r="AO94" i="3"/>
  <c r="R83" i="3"/>
  <c r="AH77" i="3"/>
  <c r="V66" i="3"/>
  <c r="X119" i="3"/>
  <c r="H91" i="3"/>
  <c r="G90" i="3"/>
  <c r="AS64" i="3"/>
  <c r="BJ56" i="3"/>
  <c r="K50" i="3"/>
  <c r="BB61" i="3"/>
  <c r="AZ61" i="3"/>
  <c r="AO63" i="3"/>
  <c r="O56" i="3"/>
  <c r="BL58" i="3"/>
  <c r="AY69" i="3"/>
  <c r="Q68" i="3"/>
  <c r="I79" i="3"/>
  <c r="AT72" i="3"/>
  <c r="AX65" i="3"/>
  <c r="BI37" i="3"/>
  <c r="BF21" i="3"/>
  <c r="AL63" i="3"/>
  <c r="AS42" i="3"/>
  <c r="S29" i="3"/>
  <c r="AK17" i="3"/>
  <c r="Y52" i="3"/>
  <c r="W36" i="3"/>
  <c r="AY22" i="3"/>
  <c r="AB62" i="3"/>
  <c r="I44" i="3"/>
  <c r="AZ30" i="3"/>
  <c r="BH61" i="3"/>
  <c r="BK58" i="3"/>
  <c r="T62" i="3"/>
  <c r="P48" i="3"/>
  <c r="N52" i="3"/>
  <c r="R62" i="3"/>
  <c r="N48" i="3"/>
  <c r="AF37" i="3"/>
  <c r="V58" i="3"/>
  <c r="BF47" i="3"/>
  <c r="AE38" i="3"/>
  <c r="P62" i="3"/>
  <c r="BL50" i="3"/>
  <c r="Y41" i="3"/>
  <c r="BB56" i="3"/>
  <c r="AF47" i="3"/>
  <c r="AA56" i="3"/>
  <c r="BG45" i="3"/>
  <c r="BA36" i="3"/>
  <c r="AR69" i="3"/>
  <c r="AT54" i="3"/>
  <c r="BJ43" i="3"/>
  <c r="Y60" i="3"/>
  <c r="BH50" i="3"/>
  <c r="AH40" i="3"/>
  <c r="AX68" i="3"/>
  <c r="BA53" i="3"/>
  <c r="L43" i="3"/>
  <c r="U64" i="3"/>
  <c r="BG52" i="3"/>
  <c r="AQ41" i="3"/>
  <c r="BA60" i="3"/>
  <c r="AB50" i="3"/>
  <c r="AX39" i="3"/>
  <c r="AX59" i="3"/>
  <c r="K49" i="3"/>
  <c r="BA35" i="3"/>
  <c r="BL24" i="3"/>
  <c r="Q16" i="3"/>
  <c r="S9" i="3"/>
  <c r="H44" i="3"/>
  <c r="BE31" i="3"/>
  <c r="W22" i="3"/>
  <c r="BJ14" i="3"/>
  <c r="AV7" i="3"/>
  <c r="AL39" i="3"/>
  <c r="AE29" i="3"/>
  <c r="AH20" i="3"/>
  <c r="U13" i="3"/>
  <c r="AF6" i="3"/>
  <c r="S34" i="3"/>
  <c r="I24" i="3"/>
  <c r="N16" i="3"/>
  <c r="P9" i="3"/>
  <c r="AR37" i="3"/>
  <c r="BH32" i="3"/>
  <c r="AS34" i="3"/>
  <c r="AD39" i="3"/>
  <c r="O28" i="3"/>
  <c r="AW33" i="3"/>
  <c r="AR23" i="3"/>
  <c r="BB15" i="3"/>
  <c r="BD8" i="3"/>
  <c r="AK35" i="3"/>
  <c r="W26" i="3"/>
  <c r="S31" i="3"/>
  <c r="AD21" i="3"/>
  <c r="O33" i="3"/>
  <c r="AG35" i="3"/>
  <c r="X24" i="3"/>
  <c r="AB16" i="3"/>
  <c r="AW43" i="3"/>
  <c r="O31" i="3"/>
  <c r="AN43" i="3"/>
  <c r="AN31" i="3"/>
  <c r="G22" i="3"/>
  <c r="AX13" i="3"/>
  <c r="BK37" i="3"/>
  <c r="AE28" i="3"/>
  <c r="AT48" i="3"/>
  <c r="S32" i="3"/>
  <c r="L23" i="3"/>
  <c r="S36" i="3"/>
  <c r="AT27" i="3"/>
  <c r="Y50" i="3"/>
  <c r="AC40" i="3"/>
  <c r="V15" i="3"/>
  <c r="AV6" i="3"/>
  <c r="V18" i="3"/>
  <c r="AT8" i="3"/>
  <c r="BE22" i="3"/>
  <c r="AS10" i="3"/>
  <c r="X23" i="3"/>
  <c r="AH11" i="3"/>
  <c r="M24" i="3"/>
  <c r="S12" i="3"/>
  <c r="AW36" i="3"/>
  <c r="AV13" i="3"/>
  <c r="AE20" i="3"/>
  <c r="U30" i="3"/>
  <c r="AS13" i="3"/>
  <c r="AC5" i="3"/>
  <c r="AO15" i="3"/>
  <c r="BK6" i="3"/>
  <c r="AP18" i="3"/>
  <c r="G8" i="3"/>
  <c r="Y20" i="3"/>
  <c r="AX7" i="3"/>
  <c r="T20" i="3"/>
  <c r="Z33" i="3"/>
  <c r="S11" i="3"/>
  <c r="AM27" i="3"/>
  <c r="AQ9" i="3"/>
  <c r="AZ23" i="3"/>
  <c r="M9" i="3"/>
  <c r="AH18" i="3"/>
  <c r="O7" i="3"/>
  <c r="AD18" i="3"/>
  <c r="AX8" i="3"/>
  <c r="AK19" i="3"/>
  <c r="AI9" i="3"/>
  <c r="AQ23" i="3"/>
  <c r="AW10" i="3"/>
  <c r="AX12" i="3"/>
  <c r="H6" i="3"/>
  <c r="BK9" i="3"/>
  <c r="F22" i="3"/>
  <c r="F31" i="3"/>
  <c r="F74" i="3"/>
  <c r="F54" i="3"/>
  <c r="F110" i="3"/>
  <c r="F85" i="3"/>
  <c r="T120" i="3"/>
  <c r="BG84" i="3"/>
  <c r="O97" i="3"/>
  <c r="AG62" i="3"/>
  <c r="AK53" i="3"/>
  <c r="BI48" i="3"/>
  <c r="BG60" i="3"/>
  <c r="BE60" i="3"/>
  <c r="Z62" i="3"/>
  <c r="T55" i="3"/>
  <c r="AT106" i="3"/>
  <c r="AP68" i="3"/>
  <c r="BA65" i="3"/>
  <c r="G78" i="3"/>
  <c r="AT87" i="3"/>
  <c r="BK64" i="3"/>
  <c r="AS36" i="3"/>
  <c r="AL21" i="3"/>
  <c r="AI62" i="3"/>
  <c r="U42" i="3"/>
  <c r="BL28" i="3"/>
  <c r="AJ87" i="3"/>
  <c r="BL51" i="3"/>
  <c r="AV35" i="3"/>
  <c r="AE22" i="3"/>
  <c r="AJ58" i="3"/>
  <c r="AZ43" i="3"/>
  <c r="AF30" i="3"/>
  <c r="AG57" i="3"/>
  <c r="AD58" i="3"/>
  <c r="M61" i="3"/>
  <c r="I68" i="3"/>
  <c r="Q50" i="3"/>
  <c r="AT61" i="3"/>
  <c r="BG47" i="3"/>
  <c r="Q36" i="3"/>
  <c r="BI57" i="3"/>
  <c r="AH47" i="3"/>
  <c r="G38" i="3"/>
  <c r="AR61" i="3"/>
  <c r="AM50" i="3"/>
  <c r="AL79" i="3"/>
  <c r="AB56" i="3"/>
  <c r="J82" i="3"/>
  <c r="AL55" i="3"/>
  <c r="G45" i="3"/>
  <c r="AG36" i="3"/>
  <c r="BG68" i="3"/>
  <c r="S54" i="3"/>
  <c r="AL43" i="3"/>
  <c r="BB59" i="3"/>
  <c r="AI50" i="3"/>
  <c r="J40" i="3"/>
  <c r="BJ66" i="3"/>
  <c r="Y53" i="3"/>
  <c r="BC42" i="3"/>
  <c r="AZ63" i="3"/>
  <c r="AE52" i="3"/>
  <c r="S41" i="3"/>
  <c r="M60" i="3"/>
  <c r="AP49" i="3"/>
  <c r="V39" i="3"/>
  <c r="K59" i="3"/>
  <c r="AZ48" i="3"/>
  <c r="BD34" i="3"/>
  <c r="AJ24" i="3"/>
  <c r="BJ15" i="3"/>
  <c r="BL8" i="3"/>
  <c r="I43" i="3"/>
  <c r="AF31" i="3"/>
  <c r="BM21" i="3"/>
  <c r="AO14" i="3"/>
  <c r="AB7" i="3"/>
  <c r="BK38" i="3"/>
  <c r="G29" i="3"/>
  <c r="K20" i="3"/>
  <c r="BM12" i="3"/>
  <c r="L6" i="3"/>
  <c r="BC33" i="3"/>
  <c r="BA23" i="3"/>
  <c r="BG15" i="3"/>
  <c r="BI8" i="3"/>
  <c r="I37" i="3"/>
  <c r="AI32" i="3"/>
  <c r="P34" i="3"/>
  <c r="AZ38" i="3"/>
  <c r="BH27" i="3"/>
  <c r="V33" i="3"/>
  <c r="T23" i="3"/>
  <c r="AF15" i="3"/>
  <c r="AJ8" i="3"/>
  <c r="AN34" i="3"/>
  <c r="N51" i="3"/>
  <c r="BF30" i="3"/>
  <c r="G21" i="3"/>
  <c r="BB32" i="3"/>
  <c r="AK34" i="3"/>
  <c r="BL23" i="3"/>
  <c r="AX15" i="3"/>
  <c r="AP42" i="3"/>
  <c r="AY30" i="3"/>
  <c r="AO42" i="3"/>
  <c r="N31" i="3"/>
  <c r="AW21" i="3"/>
  <c r="AC13" i="3"/>
  <c r="X37" i="3"/>
  <c r="G28" i="3"/>
  <c r="AO45" i="3"/>
  <c r="BK31" i="3"/>
  <c r="BB22" i="3"/>
  <c r="BE35" i="3"/>
  <c r="V27" i="3"/>
  <c r="R48" i="3"/>
  <c r="AT32" i="3"/>
  <c r="BD14" i="3"/>
  <c r="X6" i="3"/>
  <c r="BH17" i="3"/>
  <c r="Q8" i="3"/>
  <c r="V21" i="3"/>
  <c r="T10" i="3"/>
  <c r="AW22" i="3"/>
  <c r="AR10" i="3"/>
  <c r="W23" i="3"/>
  <c r="BH11" i="3"/>
  <c r="J32" i="3"/>
  <c r="O13" i="3"/>
  <c r="BH19" i="3"/>
  <c r="BK27" i="3"/>
  <c r="K13" i="3"/>
  <c r="G15" i="3"/>
  <c r="AM6" i="3"/>
  <c r="G18" i="3"/>
  <c r="AY7" i="3"/>
  <c r="AZ19" i="3"/>
  <c r="T7" i="3"/>
  <c r="AY19" i="3"/>
  <c r="BB31" i="3"/>
  <c r="BG10" i="3"/>
  <c r="AL26" i="3"/>
  <c r="N9" i="3"/>
  <c r="S22" i="3"/>
  <c r="AZ8" i="3"/>
  <c r="AE17" i="3"/>
  <c r="BD6" i="3"/>
  <c r="BM17" i="3"/>
  <c r="Y8" i="3"/>
  <c r="BL18" i="3"/>
  <c r="I9" i="3"/>
  <c r="BK22" i="3"/>
  <c r="Y9" i="3"/>
  <c r="AN10" i="3"/>
  <c r="L8" i="3"/>
  <c r="M13" i="3"/>
  <c r="F9" i="3"/>
  <c r="F26" i="3"/>
  <c r="F92" i="3"/>
  <c r="F84" i="3"/>
  <c r="F5" i="3"/>
  <c r="F10" i="3"/>
  <c r="V116" i="3"/>
  <c r="BA71" i="3"/>
  <c r="AW84" i="3"/>
  <c r="R61" i="3"/>
  <c r="AA51" i="3"/>
  <c r="S44" i="3"/>
  <c r="AR59" i="3"/>
  <c r="AP59" i="3"/>
  <c r="BD60" i="3"/>
  <c r="AX53" i="3"/>
  <c r="AH93" i="3"/>
  <c r="R68" i="3"/>
  <c r="AP89" i="3"/>
  <c r="K76" i="3"/>
  <c r="AC85" i="3"/>
  <c r="BL61" i="3"/>
  <c r="Y36" i="3"/>
  <c r="R21" i="3"/>
  <c r="BK61" i="3"/>
  <c r="BJ41" i="3"/>
  <c r="AR28" i="3"/>
  <c r="U72" i="3"/>
  <c r="V50" i="3"/>
  <c r="AB35" i="3"/>
  <c r="K22" i="3"/>
  <c r="AI57" i="3"/>
  <c r="AB43" i="3"/>
  <c r="L30" i="3"/>
  <c r="AJ56" i="3"/>
  <c r="BM57" i="3"/>
  <c r="AL60" i="3"/>
  <c r="Y66" i="3"/>
  <c r="AM48" i="3"/>
  <c r="AE60" i="3"/>
  <c r="AI47" i="3"/>
  <c r="V35" i="3"/>
  <c r="Y57" i="3"/>
  <c r="J47" i="3"/>
  <c r="AY37" i="3"/>
  <c r="AC60" i="3"/>
  <c r="J50" i="3"/>
  <c r="BJ71" i="3"/>
  <c r="AM55" i="3"/>
  <c r="BI71" i="3"/>
  <c r="AV54" i="3"/>
  <c r="AV44" i="3"/>
  <c r="M36" i="3"/>
  <c r="L65" i="3"/>
  <c r="BC53" i="3"/>
  <c r="N43" i="3"/>
  <c r="O59" i="3"/>
  <c r="AS49" i="3"/>
  <c r="BA39" i="3"/>
  <c r="Z64" i="3"/>
  <c r="BH52" i="3"/>
  <c r="AA42" i="3"/>
  <c r="L63" i="3"/>
  <c r="AR51" i="3"/>
  <c r="BD40" i="3"/>
  <c r="AY59" i="3"/>
  <c r="M49" i="3"/>
  <c r="BM38" i="3"/>
  <c r="AO58" i="3"/>
  <c r="AS47" i="3"/>
  <c r="X34" i="3"/>
  <c r="L24" i="3"/>
  <c r="AN15" i="3"/>
  <c r="AR8" i="3"/>
  <c r="P42" i="3"/>
  <c r="AQ30" i="3"/>
  <c r="AP21" i="3"/>
  <c r="T14" i="3"/>
  <c r="H7" i="3"/>
  <c r="S38" i="3"/>
  <c r="AV28" i="3"/>
  <c r="BD19" i="3"/>
  <c r="AR12" i="3"/>
  <c r="BE5" i="3"/>
  <c r="AA33" i="3"/>
  <c r="AC23" i="3"/>
  <c r="AK15" i="3"/>
  <c r="AO8" i="3"/>
  <c r="AN36" i="3"/>
  <c r="I32" i="3"/>
  <c r="AY33" i="3"/>
  <c r="AO37" i="3"/>
  <c r="AJ27" i="3"/>
  <c r="BE32" i="3"/>
  <c r="BJ22" i="3"/>
  <c r="K15" i="3"/>
  <c r="P8" i="3"/>
  <c r="I34" i="3"/>
  <c r="O47" i="3"/>
  <c r="AD30" i="3"/>
  <c r="AW20" i="3"/>
  <c r="AB32" i="3"/>
  <c r="AR33" i="3"/>
  <c r="AN23" i="3"/>
  <c r="AA15" i="3"/>
  <c r="AV41" i="3"/>
  <c r="AA30" i="3"/>
  <c r="AO41" i="3"/>
  <c r="AX30" i="3"/>
  <c r="Z21" i="3"/>
  <c r="H13" i="3"/>
  <c r="BC36" i="3"/>
  <c r="AZ27" i="3"/>
  <c r="AE44" i="3"/>
  <c r="AK31" i="3"/>
  <c r="AB22" i="3"/>
  <c r="X35" i="3"/>
  <c r="BK26" i="3"/>
  <c r="X45" i="3"/>
  <c r="AH29" i="3"/>
  <c r="X14" i="3"/>
  <c r="BM5" i="3"/>
  <c r="Y17" i="3"/>
  <c r="BH7" i="3"/>
  <c r="AV20" i="3"/>
  <c r="BH9" i="3"/>
  <c r="U21" i="3"/>
  <c r="S10" i="3"/>
  <c r="AV22" i="3"/>
  <c r="AG11" i="3"/>
  <c r="AS30" i="3"/>
  <c r="AY12" i="3"/>
  <c r="S19" i="3"/>
  <c r="BJ26" i="3"/>
  <c r="AV12" i="3"/>
  <c r="AQ14" i="3"/>
  <c r="O6" i="3"/>
  <c r="AP17" i="3"/>
  <c r="V7" i="3"/>
  <c r="M19" i="3"/>
  <c r="BI6" i="3"/>
  <c r="AN18" i="3"/>
  <c r="AT28" i="3"/>
  <c r="AD10" i="3"/>
  <c r="AW24" i="3"/>
  <c r="BA8" i="3"/>
  <c r="AM21" i="3"/>
  <c r="AA8" i="3"/>
  <c r="BG16" i="3"/>
  <c r="AB6" i="3"/>
  <c r="AC17" i="3"/>
  <c r="BM7" i="3"/>
  <c r="AC18" i="3"/>
  <c r="AW8" i="3"/>
  <c r="J22" i="3"/>
  <c r="AP6" i="3"/>
  <c r="BC7" i="3"/>
  <c r="AX17" i="3"/>
  <c r="BH5" i="3"/>
  <c r="AH9" i="3"/>
  <c r="F66" i="3"/>
  <c r="F34" i="3"/>
  <c r="F101" i="3"/>
  <c r="F59" i="3"/>
  <c r="F75" i="3"/>
  <c r="F52" i="3"/>
  <c r="AA125" i="3"/>
  <c r="W92" i="3"/>
  <c r="AZ80" i="3"/>
  <c r="AL57" i="3"/>
  <c r="L50" i="3"/>
  <c r="I42" i="3"/>
  <c r="AH57" i="3"/>
  <c r="AF57" i="3"/>
  <c r="AT58" i="3"/>
  <c r="BH51" i="3"/>
  <c r="BD86" i="3"/>
  <c r="BB65" i="3"/>
  <c r="AR81" i="3"/>
  <c r="AW75" i="3"/>
  <c r="AE81" i="3"/>
  <c r="AP57" i="3"/>
  <c r="AX35" i="3"/>
  <c r="BK20" i="3"/>
  <c r="W61" i="3"/>
  <c r="AL41" i="3"/>
  <c r="X28" i="3"/>
  <c r="I71" i="3"/>
  <c r="BM47" i="3"/>
  <c r="H35" i="3"/>
  <c r="BD21" i="3"/>
  <c r="J56" i="3"/>
  <c r="AQ42" i="3"/>
  <c r="BE29" i="3"/>
  <c r="I56" i="3"/>
  <c r="AE57" i="3"/>
  <c r="AF59" i="3"/>
  <c r="AA65" i="3"/>
  <c r="O48" i="3"/>
  <c r="AD59" i="3"/>
  <c r="K47" i="3"/>
  <c r="AU34" i="3"/>
  <c r="BF56" i="3"/>
  <c r="BJ45" i="3"/>
  <c r="AE37" i="3"/>
  <c r="BK59" i="3"/>
  <c r="AW49" i="3"/>
  <c r="AY70" i="3"/>
  <c r="M55" i="3"/>
  <c r="AS69" i="3"/>
  <c r="T54" i="3"/>
  <c r="X44" i="3"/>
  <c r="BF35" i="3"/>
  <c r="AB64" i="3"/>
  <c r="AA53" i="3"/>
  <c r="BE42" i="3"/>
  <c r="AX58" i="3"/>
  <c r="T49" i="3"/>
  <c r="AC39" i="3"/>
  <c r="BA63" i="3"/>
  <c r="AF52" i="3"/>
  <c r="AR41" i="3"/>
  <c r="AN62" i="3"/>
  <c r="Q51" i="3"/>
  <c r="AF40" i="3"/>
  <c r="L59" i="3"/>
  <c r="BA48" i="3"/>
  <c r="AQ38" i="3"/>
  <c r="AR57" i="3"/>
  <c r="U47" i="3"/>
  <c r="BJ33" i="3"/>
  <c r="BD23" i="3"/>
  <c r="S15" i="3"/>
  <c r="X8" i="3"/>
  <c r="L41" i="3"/>
  <c r="S30" i="3"/>
  <c r="S21" i="3"/>
  <c r="BL13" i="3"/>
  <c r="BA6" i="3"/>
  <c r="AW37" i="3"/>
  <c r="T28" i="3"/>
  <c r="AG19" i="3"/>
  <c r="V12" i="3"/>
  <c r="AK5" i="3"/>
  <c r="AK32" i="3"/>
  <c r="AR22" i="3"/>
  <c r="P15" i="3"/>
  <c r="U8" i="3"/>
  <c r="H36" i="3"/>
  <c r="BA31" i="3"/>
  <c r="X33" i="3"/>
  <c r="AI36" i="3"/>
  <c r="L27" i="3"/>
  <c r="AE32" i="3"/>
  <c r="AM22" i="3"/>
  <c r="BC14" i="3"/>
  <c r="BI7" i="3"/>
  <c r="AU33" i="3"/>
  <c r="BC44" i="3"/>
  <c r="AU29" i="3"/>
  <c r="Z20" i="3"/>
  <c r="AQ31" i="3"/>
  <c r="N33" i="3"/>
  <c r="P23" i="3"/>
  <c r="AX14" i="3"/>
  <c r="AU40" i="3"/>
  <c r="AR29" i="3"/>
  <c r="AT40" i="3"/>
  <c r="Z30" i="3"/>
  <c r="AS20" i="3"/>
  <c r="AZ12" i="3"/>
  <c r="U36" i="3"/>
  <c r="X27" i="3"/>
  <c r="AF43" i="3"/>
  <c r="L31" i="3"/>
  <c r="AU21" i="3"/>
  <c r="BG34" i="3"/>
  <c r="AM26" i="3"/>
  <c r="Y44" i="3"/>
  <c r="Q28" i="3"/>
  <c r="BC13" i="3"/>
  <c r="AO5" i="3"/>
  <c r="BA16" i="3"/>
  <c r="AI7" i="3"/>
  <c r="AC19" i="3"/>
  <c r="AD9" i="3"/>
  <c r="AT20" i="3"/>
  <c r="BC9" i="3"/>
  <c r="M21" i="3"/>
  <c r="AQ10" i="3"/>
  <c r="H24" i="3"/>
  <c r="R12" i="3"/>
  <c r="AT18" i="3"/>
  <c r="BM24" i="3"/>
  <c r="N12" i="3"/>
  <c r="I14" i="3"/>
  <c r="AZ5" i="3"/>
  <c r="AI16" i="3"/>
  <c r="BJ6" i="3"/>
  <c r="AO18" i="3"/>
  <c r="AK6" i="3"/>
  <c r="AN17" i="3"/>
  <c r="AR27" i="3"/>
  <c r="AR9" i="3"/>
  <c r="BE23" i="3"/>
  <c r="AB8" i="3"/>
  <c r="BL20" i="3"/>
  <c r="AP7" i="3"/>
  <c r="AA16" i="3"/>
  <c r="AS5" i="3"/>
  <c r="BF16" i="3"/>
  <c r="AM7" i="3"/>
  <c r="BL17" i="3"/>
  <c r="T8" i="3"/>
  <c r="AE21" i="3"/>
  <c r="AE5" i="3"/>
  <c r="Y6" i="3"/>
  <c r="AV8" i="3"/>
  <c r="BH6" i="3"/>
  <c r="F81" i="3"/>
  <c r="F51" i="3"/>
  <c r="F28" i="3"/>
  <c r="F112" i="3"/>
  <c r="F118" i="3"/>
  <c r="F104" i="3"/>
  <c r="Z113" i="3"/>
  <c r="AP77" i="3"/>
  <c r="O69" i="3"/>
  <c r="AB55" i="3"/>
  <c r="BC45" i="3"/>
  <c r="BG40" i="3"/>
  <c r="BL81" i="3"/>
  <c r="AP55" i="3"/>
  <c r="Z83" i="3"/>
  <c r="BJ84" i="3"/>
  <c r="AZ85" i="3"/>
  <c r="BE63" i="3"/>
  <c r="BM80" i="3"/>
  <c r="AZ74" i="3"/>
  <c r="BG80" i="3"/>
  <c r="M56" i="3"/>
  <c r="AD35" i="3"/>
  <c r="AB19" i="3"/>
  <c r="AV60" i="3"/>
  <c r="J41" i="3"/>
  <c r="AW27" i="3"/>
  <c r="N70" i="3"/>
  <c r="Q47" i="3"/>
  <c r="BF33" i="3"/>
  <c r="AJ21" i="3"/>
  <c r="BA55" i="3"/>
  <c r="H41" i="3"/>
  <c r="AK29" i="3"/>
  <c r="AZ55" i="3"/>
  <c r="AH56" i="3"/>
  <c r="BJ58" i="3"/>
  <c r="AP64" i="3"/>
  <c r="BH47" i="3"/>
  <c r="BH58" i="3"/>
  <c r="BK45" i="3"/>
  <c r="AA34" i="3"/>
  <c r="AD56" i="3"/>
  <c r="AL45" i="3"/>
  <c r="K37" i="3"/>
  <c r="W59" i="3"/>
  <c r="X49" i="3"/>
  <c r="AZ69" i="3"/>
  <c r="U54" i="3"/>
  <c r="BH68" i="3"/>
  <c r="BH53" i="3"/>
  <c r="BK43" i="3"/>
  <c r="AL35" i="3"/>
  <c r="BC63" i="3"/>
  <c r="AH52" i="3"/>
  <c r="AG42" i="3"/>
  <c r="Q58" i="3"/>
  <c r="BD48" i="3"/>
  <c r="AT38" i="3"/>
  <c r="M63" i="3"/>
  <c r="AS51" i="3"/>
  <c r="T41" i="3"/>
  <c r="AG61" i="3"/>
  <c r="BF50" i="3"/>
  <c r="H40" i="3"/>
  <c r="AP58" i="3"/>
  <c r="AC48" i="3"/>
  <c r="BH92" i="3"/>
  <c r="H57" i="3"/>
  <c r="AW45" i="3"/>
  <c r="AE33" i="3"/>
  <c r="AF23" i="3"/>
  <c r="BK14" i="3"/>
  <c r="AW7" i="3"/>
  <c r="W40" i="3"/>
  <c r="BD29" i="3"/>
  <c r="BF20" i="3"/>
  <c r="AQ13" i="3"/>
  <c r="AG6" i="3"/>
  <c r="M37" i="3"/>
  <c r="BM27" i="3"/>
  <c r="J19" i="3"/>
  <c r="AU11" i="3"/>
  <c r="Q5" i="3"/>
  <c r="K32" i="3"/>
  <c r="U22" i="3"/>
  <c r="BH14" i="3"/>
  <c r="AT7" i="3"/>
  <c r="BM49" i="3"/>
  <c r="X31" i="3"/>
  <c r="BG32" i="3"/>
  <c r="AN35" i="3"/>
  <c r="AW26" i="3"/>
  <c r="AT31" i="3"/>
  <c r="P22" i="3"/>
  <c r="AH14" i="3"/>
  <c r="AO7" i="3"/>
  <c r="U33" i="3"/>
  <c r="BD43" i="3"/>
  <c r="W29" i="3"/>
  <c r="AS19" i="3"/>
  <c r="Q31" i="3"/>
  <c r="AZ32" i="3"/>
  <c r="BF22" i="3"/>
  <c r="AC14" i="3"/>
  <c r="BJ39" i="3"/>
  <c r="P29" i="3"/>
  <c r="BI39" i="3"/>
  <c r="AQ29" i="3"/>
  <c r="S20" i="3"/>
  <c r="AE12" i="3"/>
  <c r="BH35" i="3"/>
  <c r="BM26" i="3"/>
  <c r="AI42" i="3"/>
  <c r="AV30" i="3"/>
  <c r="X21" i="3"/>
  <c r="AB34" i="3"/>
  <c r="K26" i="3"/>
  <c r="V43" i="3"/>
  <c r="O27" i="3"/>
  <c r="Y13" i="3"/>
  <c r="M5" i="3"/>
  <c r="R16" i="3"/>
  <c r="J7" i="3"/>
  <c r="BF18" i="3"/>
  <c r="AS8" i="3"/>
  <c r="Y19" i="3"/>
  <c r="AC9" i="3"/>
  <c r="AL20" i="3"/>
  <c r="R10" i="3"/>
  <c r="V23" i="3"/>
  <c r="BG11" i="3"/>
  <c r="J18" i="3"/>
  <c r="Q23" i="3"/>
  <c r="BC11" i="3"/>
  <c r="BM61" i="3"/>
  <c r="AN13" i="3"/>
  <c r="AB5" i="3"/>
  <c r="AJ15" i="3"/>
  <c r="AL6" i="3"/>
  <c r="AO17" i="3"/>
  <c r="I6" i="3"/>
  <c r="AG16" i="3"/>
  <c r="AS26" i="3"/>
  <c r="O9" i="3"/>
  <c r="T22" i="3"/>
  <c r="AQ7" i="3"/>
  <c r="I20" i="3"/>
  <c r="P7" i="3"/>
  <c r="BK15" i="3"/>
  <c r="U5" i="3"/>
  <c r="Y16" i="3"/>
  <c r="N7" i="3"/>
  <c r="AB17" i="3"/>
  <c r="BL7" i="3"/>
  <c r="BA20" i="3"/>
  <c r="V5" i="3"/>
  <c r="Y7" i="3"/>
  <c r="BJ19" i="3"/>
  <c r="AT5" i="3"/>
  <c r="F116" i="3"/>
  <c r="F126" i="3"/>
  <c r="F64" i="3"/>
  <c r="F42" i="3"/>
  <c r="F103" i="3"/>
  <c r="F55" i="3"/>
  <c r="AR124" i="3"/>
  <c r="AU68" i="3"/>
  <c r="BG61" i="3"/>
  <c r="M54" i="3"/>
  <c r="BM43" i="3"/>
  <c r="AK94" i="3"/>
  <c r="M81" i="3"/>
  <c r="V55" i="3"/>
  <c r="AQ82" i="3"/>
  <c r="X83" i="3"/>
  <c r="AU81" i="3"/>
  <c r="AU61" i="3"/>
  <c r="AT79" i="3"/>
  <c r="U74" i="3"/>
  <c r="AQ79" i="3"/>
  <c r="AL54" i="3"/>
  <c r="J35" i="3"/>
  <c r="AL17" i="3"/>
  <c r="AO57" i="3"/>
  <c r="AY40" i="3"/>
  <c r="AC27" i="3"/>
  <c r="P69" i="3"/>
  <c r="AS45" i="3"/>
  <c r="W32" i="3"/>
  <c r="P21" i="3"/>
  <c r="W55" i="3"/>
  <c r="BG38" i="3"/>
  <c r="Q29" i="3"/>
  <c r="U55" i="3"/>
  <c r="H56" i="3"/>
  <c r="AB58" i="3"/>
  <c r="AE63" i="3"/>
  <c r="AJ47" i="3"/>
  <c r="W58" i="3"/>
  <c r="AM45" i="3"/>
  <c r="G34" i="3"/>
  <c r="AQ55" i="3"/>
  <c r="J45" i="3"/>
  <c r="BD36" i="3"/>
  <c r="BF58" i="3"/>
  <c r="BH48" i="3"/>
  <c r="J66" i="3"/>
  <c r="BI53" i="3"/>
  <c r="Q65" i="3"/>
  <c r="AB53" i="3"/>
  <c r="AM43" i="3"/>
  <c r="R35" i="3"/>
  <c r="O63" i="3"/>
  <c r="H52" i="3"/>
  <c r="AT41" i="3"/>
  <c r="AV57" i="3"/>
  <c r="AF48" i="3"/>
  <c r="X38" i="3"/>
  <c r="AO62" i="3"/>
  <c r="R51" i="3"/>
  <c r="BE40" i="3"/>
  <c r="BF60" i="3"/>
  <c r="AC50" i="3"/>
  <c r="AY39" i="3"/>
  <c r="J58" i="3"/>
  <c r="V47" i="3"/>
  <c r="AB81" i="3"/>
  <c r="AU56" i="3"/>
  <c r="Y45" i="3"/>
  <c r="AN32" i="3"/>
  <c r="AU22" i="3"/>
  <c r="AP14" i="3"/>
  <c r="AC7" i="3"/>
  <c r="AM39" i="3"/>
  <c r="AF29" i="3"/>
  <c r="AI20" i="3"/>
  <c r="V13" i="3"/>
  <c r="M6" i="3"/>
  <c r="AT36" i="3"/>
  <c r="AO27" i="3"/>
  <c r="AW18" i="3"/>
  <c r="AA11" i="3"/>
  <c r="BC31" i="3"/>
  <c r="BK21" i="3"/>
  <c r="AM14" i="3"/>
  <c r="Z7" i="3"/>
  <c r="BI47" i="3"/>
  <c r="BL30" i="3"/>
  <c r="AH32" i="3"/>
  <c r="AR34" i="3"/>
  <c r="Y26" i="3"/>
  <c r="U31" i="3"/>
  <c r="BC21" i="3"/>
  <c r="L14" i="3"/>
  <c r="U7" i="3"/>
  <c r="BD32" i="3"/>
  <c r="BG42" i="3"/>
  <c r="BH28" i="3"/>
  <c r="M47" i="3"/>
  <c r="BE30" i="3"/>
  <c r="AA32" i="3"/>
  <c r="AI22" i="3"/>
  <c r="H14" i="3"/>
  <c r="L39" i="3"/>
  <c r="BE28" i="3"/>
  <c r="I39" i="3"/>
  <c r="O29" i="3"/>
  <c r="BL19" i="3"/>
  <c r="J12" i="3"/>
  <c r="Z35" i="3"/>
  <c r="AO26" i="3"/>
  <c r="AE41" i="3"/>
  <c r="X30" i="3"/>
  <c r="AN20" i="3"/>
  <c r="BM33" i="3"/>
  <c r="AM24" i="3"/>
  <c r="W42" i="3"/>
  <c r="J26" i="3"/>
  <c r="BG12" i="3"/>
  <c r="BA15" i="3"/>
  <c r="AU6" i="3"/>
  <c r="U18" i="3"/>
  <c r="O8" i="3"/>
  <c r="BE18" i="3"/>
  <c r="AN8" i="3"/>
  <c r="BM19" i="3"/>
  <c r="BB9" i="3"/>
  <c r="AQ22" i="3"/>
  <c r="AF11" i="3"/>
  <c r="AW17" i="3"/>
  <c r="AN22" i="3"/>
  <c r="Y11" i="3"/>
  <c r="P30" i="3"/>
  <c r="I13" i="3"/>
  <c r="AL14" i="3"/>
  <c r="J6" i="3"/>
  <c r="AH16" i="3"/>
  <c r="AX5" i="3"/>
  <c r="AH15" i="3"/>
  <c r="AY24" i="3"/>
  <c r="BB8" i="3"/>
  <c r="AR21" i="3"/>
  <c r="Q7" i="3"/>
  <c r="AP19" i="3"/>
  <c r="BE6" i="3"/>
  <c r="AC15" i="3"/>
  <c r="BF15" i="3"/>
  <c r="BC6" i="3"/>
  <c r="BE16" i="3"/>
  <c r="AL7" i="3"/>
  <c r="AJ19" i="3"/>
  <c r="AU18" i="3"/>
  <c r="BA9" i="3"/>
  <c r="F115" i="3"/>
  <c r="F50" i="3"/>
  <c r="F80" i="3"/>
  <c r="F58" i="3"/>
  <c r="F40" i="3"/>
  <c r="F27" i="3"/>
  <c r="BF86" i="3"/>
  <c r="AR103" i="3"/>
  <c r="AW59" i="3"/>
  <c r="AG50" i="3"/>
  <c r="AD42" i="3"/>
  <c r="O81" i="3"/>
  <c r="BC78" i="3"/>
  <c r="G54" i="3"/>
  <c r="BH79" i="3"/>
  <c r="AH80" i="3"/>
  <c r="AY77" i="3"/>
  <c r="AA61" i="3"/>
  <c r="J79" i="3"/>
  <c r="W72" i="3"/>
  <c r="AJ78" i="3"/>
  <c r="H54" i="3"/>
  <c r="BH33" i="3"/>
  <c r="BK16" i="3"/>
  <c r="AK54" i="3"/>
  <c r="AA40" i="3"/>
  <c r="I27" i="3"/>
  <c r="X68" i="3"/>
  <c r="U45" i="3"/>
  <c r="AV31" i="3"/>
  <c r="BI20" i="3"/>
  <c r="BI54" i="3"/>
  <c r="AK38" i="3"/>
  <c r="BJ28" i="3"/>
  <c r="BH54" i="3"/>
  <c r="AC54" i="3"/>
  <c r="BL57" i="3"/>
  <c r="BG62" i="3"/>
  <c r="L47" i="3"/>
  <c r="BJ57" i="3"/>
  <c r="AQ43" i="3"/>
  <c r="AZ33" i="3"/>
  <c r="O55" i="3"/>
  <c r="AY44" i="3"/>
  <c r="AJ36" i="3"/>
  <c r="U58" i="3"/>
  <c r="L48" i="3"/>
  <c r="S65" i="3"/>
  <c r="AC53" i="3"/>
  <c r="AC64" i="3"/>
  <c r="AJ52" i="3"/>
  <c r="O43" i="3"/>
  <c r="BK34" i="3"/>
  <c r="AV62" i="3"/>
  <c r="AY51" i="3"/>
  <c r="V41" i="3"/>
  <c r="T57" i="3"/>
  <c r="H48" i="3"/>
  <c r="AT37" i="3"/>
  <c r="AI61" i="3"/>
  <c r="BG50" i="3"/>
  <c r="AG40" i="3"/>
  <c r="R60" i="3"/>
  <c r="AQ49" i="3"/>
  <c r="W39" i="3"/>
  <c r="K57" i="3"/>
  <c r="AX45" i="3"/>
  <c r="AS72" i="3"/>
  <c r="P56" i="3"/>
  <c r="Y61" i="3"/>
  <c r="O32" i="3"/>
  <c r="X22" i="3"/>
  <c r="U14" i="3"/>
  <c r="I7" i="3"/>
  <c r="BL38" i="3"/>
  <c r="H29" i="3"/>
  <c r="L20" i="3"/>
  <c r="AS12" i="3"/>
  <c r="BF5" i="3"/>
  <c r="J36" i="3"/>
  <c r="Q27" i="3"/>
  <c r="Z18" i="3"/>
  <c r="G11" i="3"/>
  <c r="Z31" i="3"/>
  <c r="AN21" i="3"/>
  <c r="R14" i="3"/>
  <c r="AY6" i="3"/>
  <c r="M40" i="3"/>
  <c r="AM30" i="3"/>
  <c r="H32" i="3"/>
  <c r="K34" i="3"/>
  <c r="G57" i="3"/>
  <c r="BH30" i="3"/>
  <c r="AF21" i="3"/>
  <c r="BD13" i="3"/>
  <c r="AV66" i="3"/>
  <c r="AD32" i="3"/>
  <c r="BG41" i="3"/>
  <c r="AJ28" i="3"/>
  <c r="BM45" i="3"/>
  <c r="AC30" i="3"/>
  <c r="AP31" i="3"/>
  <c r="I22" i="3"/>
  <c r="AZ13" i="3"/>
  <c r="AJ38" i="3"/>
  <c r="AG28" i="3"/>
  <c r="AI38" i="3"/>
  <c r="BD28" i="3"/>
  <c r="AO19" i="3"/>
  <c r="AQ72" i="3"/>
  <c r="BJ34" i="3"/>
  <c r="Q26" i="3"/>
  <c r="AL40" i="3"/>
  <c r="BM29" i="3"/>
  <c r="Q20" i="3"/>
  <c r="AI33" i="3"/>
  <c r="O24" i="3"/>
  <c r="AC41" i="3"/>
  <c r="AC24" i="3"/>
  <c r="AB12" i="3"/>
  <c r="U15" i="3"/>
  <c r="W6" i="3"/>
  <c r="BG17" i="3"/>
  <c r="BG7" i="3"/>
  <c r="S18" i="3"/>
  <c r="N8" i="3"/>
  <c r="W19" i="3"/>
  <c r="AB9" i="3"/>
  <c r="L21" i="3"/>
  <c r="AW39" i="3"/>
  <c r="K17" i="3"/>
  <c r="BH21" i="3"/>
  <c r="BL10" i="3"/>
  <c r="BJ27" i="3"/>
  <c r="AU12" i="3"/>
  <c r="G14" i="3"/>
  <c r="AY5" i="3"/>
  <c r="AI15" i="3"/>
  <c r="Z5" i="3"/>
  <c r="AJ14" i="3"/>
  <c r="BF23" i="3"/>
  <c r="AC8" i="3"/>
  <c r="N20" i="3"/>
  <c r="BF6" i="3"/>
  <c r="AI18" i="3"/>
  <c r="AC6" i="3"/>
  <c r="BL14" i="3"/>
  <c r="Z15" i="3"/>
  <c r="AA6" i="3"/>
  <c r="X16" i="3"/>
  <c r="M7" i="3"/>
  <c r="BK18" i="3"/>
  <c r="AP10" i="3"/>
  <c r="Q12" i="3"/>
  <c r="L17" i="3"/>
  <c r="K8" i="3"/>
  <c r="AA9" i="3"/>
  <c r="F62" i="3"/>
  <c r="F13" i="3"/>
  <c r="F91" i="3"/>
  <c r="F98" i="3"/>
  <c r="F120" i="3"/>
  <c r="F38" i="3"/>
  <c r="BJ81" i="3"/>
  <c r="AV86" i="3"/>
  <c r="AH58" i="3"/>
  <c r="AQ48" i="3"/>
  <c r="Y39" i="3"/>
  <c r="Z78" i="3"/>
  <c r="BG76" i="3"/>
  <c r="BE52" i="3"/>
  <c r="BA77" i="3"/>
  <c r="O78" i="3"/>
  <c r="BG74" i="3"/>
  <c r="AZ60" i="3"/>
  <c r="L77" i="3"/>
  <c r="AT69" i="3"/>
  <c r="AS75" i="3"/>
  <c r="AT53" i="3"/>
  <c r="AX31" i="3"/>
  <c r="W16" i="3"/>
  <c r="O53" i="3"/>
  <c r="AM38" i="3"/>
  <c r="BB26" i="3"/>
  <c r="AM66" i="3"/>
  <c r="BF44" i="3"/>
  <c r="H31" i="3"/>
  <c r="AO20" i="3"/>
  <c r="AI54" i="3"/>
  <c r="BF37" i="3"/>
  <c r="AP28" i="3"/>
  <c r="AD54" i="3"/>
  <c r="BG51" i="3"/>
  <c r="AB57" i="3"/>
  <c r="AG60" i="3"/>
  <c r="BL45" i="3"/>
  <c r="Z57" i="3"/>
  <c r="AL42" i="3"/>
  <c r="AF33" i="3"/>
  <c r="BC54" i="3"/>
  <c r="AA44" i="3"/>
  <c r="P36" i="3"/>
  <c r="X57" i="3"/>
  <c r="BE47" i="3"/>
  <c r="AD64" i="3"/>
  <c r="AL52" i="3"/>
  <c r="BD63" i="3"/>
  <c r="I52" i="3"/>
  <c r="BF42" i="3"/>
  <c r="AQ34" i="3"/>
  <c r="H62" i="3"/>
  <c r="T51" i="3"/>
  <c r="BK40" i="3"/>
  <c r="AY56" i="3"/>
  <c r="BA47" i="3"/>
  <c r="Z37" i="3"/>
  <c r="BH60" i="3"/>
  <c r="AD50" i="3"/>
  <c r="I40" i="3"/>
  <c r="AZ59" i="3"/>
  <c r="N49" i="3"/>
  <c r="AH78" i="3"/>
  <c r="AV56" i="3"/>
  <c r="Z45" i="3"/>
  <c r="AH71" i="3"/>
  <c r="BF55" i="3"/>
  <c r="AN58" i="3"/>
  <c r="BG31" i="3"/>
  <c r="AQ21" i="3"/>
  <c r="BM13" i="3"/>
  <c r="BB6" i="3"/>
  <c r="T38" i="3"/>
  <c r="AW28" i="3"/>
  <c r="BE19" i="3"/>
  <c r="X12" i="3"/>
  <c r="AL5" i="3"/>
  <c r="AY35" i="3"/>
  <c r="BF26" i="3"/>
  <c r="AS17" i="3"/>
  <c r="AZ10" i="3"/>
  <c r="AO30" i="3"/>
  <c r="N21" i="3"/>
  <c r="BJ13" i="3"/>
  <c r="AE6" i="3"/>
  <c r="AG39" i="3"/>
  <c r="K30" i="3"/>
  <c r="AZ31" i="3"/>
  <c r="AX33" i="3"/>
  <c r="AM54" i="3"/>
  <c r="AJ30" i="3"/>
  <c r="I21" i="3"/>
  <c r="AI13" i="3"/>
  <c r="AS31" i="3"/>
  <c r="BB40" i="3"/>
  <c r="BH45" i="3"/>
  <c r="AY21" i="3"/>
  <c r="BM37" i="3"/>
  <c r="I28" i="3"/>
  <c r="AJ90" i="3"/>
  <c r="BK95" i="3"/>
  <c r="BB54" i="3"/>
  <c r="H47" i="3"/>
  <c r="AL94" i="3"/>
  <c r="T73" i="3"/>
  <c r="Q73" i="3"/>
  <c r="AU50" i="3"/>
  <c r="BI74" i="3"/>
  <c r="Y75" i="3"/>
  <c r="AB74" i="3"/>
  <c r="AF60" i="3"/>
  <c r="V74" i="3"/>
  <c r="BK68" i="3"/>
  <c r="I89" i="3"/>
  <c r="T53" i="3"/>
  <c r="J31" i="3"/>
  <c r="AV15" i="3"/>
  <c r="AZ52" i="3"/>
  <c r="AR36" i="3"/>
  <c r="AH26" i="3"/>
  <c r="AU65" i="3"/>
  <c r="AH44" i="3"/>
  <c r="BA30" i="3"/>
  <c r="AY18" i="3"/>
  <c r="AQ53" i="3"/>
  <c r="AK37" i="3"/>
  <c r="G27" i="3"/>
  <c r="AP53" i="3"/>
  <c r="AG51" i="3"/>
  <c r="BM56" i="3"/>
  <c r="Z58" i="3"/>
  <c r="AN45" i="3"/>
  <c r="BG56" i="3"/>
  <c r="N42" i="3"/>
  <c r="L33" i="3"/>
  <c r="W54" i="3"/>
  <c r="AP43" i="3"/>
  <c r="AO35" i="3"/>
  <c r="BD56" i="3"/>
  <c r="AG47" i="3"/>
  <c r="BF63" i="3"/>
  <c r="J52" i="3"/>
  <c r="P63" i="3"/>
  <c r="AZ51" i="3"/>
  <c r="AH42" i="3"/>
  <c r="W34" i="3"/>
  <c r="AO61" i="3"/>
  <c r="BI50" i="3"/>
  <c r="AI40" i="3"/>
  <c r="Y56" i="3"/>
  <c r="Y47" i="3"/>
  <c r="AY36" i="3"/>
  <c r="T60" i="3"/>
  <c r="AR49" i="3"/>
  <c r="AZ39" i="3"/>
  <c r="M59" i="3"/>
  <c r="AD48" i="3"/>
  <c r="BH72" i="3"/>
  <c r="R56" i="3"/>
  <c r="AQ44" i="3"/>
  <c r="AA70" i="3"/>
  <c r="AF55" i="3"/>
  <c r="R45" i="3"/>
  <c r="AG31" i="3"/>
  <c r="T21" i="3"/>
  <c r="AR13" i="3"/>
  <c r="AH6" i="3"/>
  <c r="AX37" i="3"/>
  <c r="U28" i="3"/>
  <c r="AH19" i="3"/>
  <c r="AV11" i="3"/>
  <c r="R5" i="3"/>
  <c r="O35" i="3"/>
  <c r="AD26" i="3"/>
  <c r="V17" i="3"/>
  <c r="AF10" i="3"/>
  <c r="AB52" i="3"/>
  <c r="Q30" i="3"/>
  <c r="BD20" i="3"/>
  <c r="AO13" i="3"/>
  <c r="K6" i="3"/>
  <c r="BD38" i="3"/>
  <c r="AZ29" i="3"/>
  <c r="W31" i="3"/>
  <c r="W33" i="3"/>
  <c r="AD49" i="3"/>
  <c r="H30" i="3"/>
  <c r="AY20" i="3"/>
  <c r="N13" i="3"/>
  <c r="AM51" i="3"/>
  <c r="T31" i="3"/>
  <c r="O39" i="3"/>
  <c r="BE27" i="3"/>
  <c r="AY43" i="3"/>
  <c r="AW44" i="3"/>
  <c r="BD30" i="3"/>
  <c r="AB21" i="3"/>
  <c r="J13" i="3"/>
  <c r="AC37" i="3"/>
  <c r="BB27" i="3"/>
  <c r="AA37" i="3"/>
  <c r="H28" i="3"/>
  <c r="BH18" i="3"/>
  <c r="N56" i="3"/>
  <c r="AO33" i="3"/>
  <c r="Q24" i="3"/>
  <c r="AG38" i="3"/>
  <c r="M29" i="3"/>
  <c r="AA48" i="3"/>
  <c r="AU32" i="3"/>
  <c r="AI23" i="3"/>
  <c r="BB39" i="3"/>
  <c r="BI22" i="3"/>
  <c r="AL11" i="3"/>
  <c r="AO32" i="3"/>
  <c r="W14" i="3"/>
  <c r="AN5" i="3"/>
  <c r="AZ16" i="3"/>
  <c r="AT6" i="3"/>
  <c r="S17" i="3"/>
  <c r="AG7" i="3"/>
  <c r="R18" i="3"/>
  <c r="M8" i="3"/>
  <c r="BK19" i="3"/>
  <c r="AN30" i="3"/>
  <c r="G16" i="3"/>
  <c r="AD20" i="3"/>
  <c r="J10" i="3"/>
  <c r="BD24" i="3"/>
  <c r="BB11" i="3"/>
  <c r="S45" i="3"/>
  <c r="G13" i="3"/>
  <c r="AK13" i="3"/>
  <c r="AM12" i="3"/>
  <c r="AS21" i="3"/>
  <c r="R7" i="3"/>
  <c r="AJ18" i="3"/>
  <c r="AU5" i="3"/>
  <c r="AC16" i="3"/>
  <c r="Y31" i="3"/>
  <c r="BI13" i="3"/>
  <c r="AB28" i="3"/>
  <c r="AB14" i="3"/>
  <c r="T5" i="3"/>
  <c r="X15" i="3"/>
  <c r="Z6" i="3"/>
  <c r="BK17" i="3"/>
  <c r="BK7" i="3"/>
  <c r="BB7" i="3"/>
  <c r="AL8" i="3"/>
  <c r="AP5" i="3"/>
  <c r="F63" i="3"/>
  <c r="F18" i="3"/>
  <c r="F119" i="3"/>
  <c r="F105" i="3"/>
  <c r="F99" i="3"/>
  <c r="F17" i="3"/>
  <c r="T122" i="3"/>
  <c r="AC97" i="3"/>
  <c r="BL52" i="3"/>
  <c r="K42" i="3"/>
  <c r="L85" i="3"/>
  <c r="AO80" i="3"/>
  <c r="AM80" i="3"/>
  <c r="Y96" i="3"/>
  <c r="AT71" i="3"/>
  <c r="AD72" i="3"/>
  <c r="L73" i="3"/>
  <c r="Z93" i="3"/>
  <c r="BM71" i="3"/>
  <c r="AB66" i="3"/>
  <c r="AB86" i="3"/>
  <c r="BA52" i="3"/>
  <c r="BH29" i="3"/>
  <c r="AB15" i="3"/>
  <c r="Z52" i="3"/>
  <c r="AW35" i="3"/>
  <c r="V24" i="3"/>
  <c r="BD64" i="3"/>
  <c r="J44" i="3"/>
  <c r="AG30" i="3"/>
  <c r="P17" i="3"/>
  <c r="M53" i="3"/>
  <c r="Q37" i="3"/>
  <c r="AN24" i="3"/>
  <c r="K53" i="3"/>
  <c r="AR50" i="3"/>
  <c r="AG56" i="3"/>
  <c r="AA57" i="3"/>
  <c r="L45" i="3"/>
  <c r="AE56" i="3"/>
  <c r="AY41" i="3"/>
  <c r="AL76" i="3"/>
  <c r="BK53" i="3"/>
  <c r="BI42" i="3"/>
  <c r="U35" i="3"/>
  <c r="AC56" i="3"/>
  <c r="BI45" i="3"/>
  <c r="R63" i="3"/>
  <c r="BA51" i="3"/>
  <c r="AX62" i="3"/>
  <c r="U51" i="3"/>
  <c r="AU41" i="3"/>
  <c r="AV33" i="3"/>
  <c r="Z60" i="3"/>
  <c r="AJ50" i="3"/>
  <c r="K40" i="3"/>
  <c r="BL55" i="3"/>
  <c r="BA45" i="3"/>
  <c r="AE36" i="3"/>
  <c r="BA59" i="3"/>
  <c r="O49" i="3"/>
  <c r="AB39" i="3"/>
  <c r="O58" i="3"/>
  <c r="AY47" i="3"/>
  <c r="AI71" i="3"/>
  <c r="BG55" i="3"/>
  <c r="O44" i="3"/>
  <c r="Z69" i="3"/>
  <c r="AN54" i="3"/>
  <c r="M44" i="3"/>
  <c r="AR30" i="3"/>
  <c r="BG20" i="3"/>
  <c r="W13" i="3"/>
  <c r="N6" i="3"/>
  <c r="N37" i="3"/>
  <c r="AP27" i="3"/>
  <c r="K19" i="3"/>
  <c r="AB11" i="3"/>
  <c r="AX34" i="3"/>
  <c r="BF24" i="3"/>
  <c r="BL16" i="3"/>
  <c r="L10" i="3"/>
  <c r="Q40" i="3"/>
  <c r="BB29" i="3"/>
  <c r="AG20" i="3"/>
  <c r="T13" i="3"/>
  <c r="BD5" i="3"/>
  <c r="L38" i="3"/>
  <c r="AB29" i="3"/>
  <c r="BJ30" i="3"/>
  <c r="BF32" i="3"/>
  <c r="AK47" i="3"/>
  <c r="AW29" i="3"/>
  <c r="AB20" i="3"/>
  <c r="BF12" i="3"/>
  <c r="J49" i="3"/>
  <c r="BG30" i="3"/>
  <c r="AR38" i="3"/>
  <c r="AG27" i="3"/>
  <c r="AV42" i="3"/>
  <c r="AX43" i="3"/>
  <c r="AB30" i="3"/>
  <c r="AU20" i="3"/>
  <c r="BB12" i="3"/>
  <c r="BG36" i="3"/>
  <c r="Z27" i="3"/>
  <c r="BF36" i="3"/>
  <c r="BA27" i="3"/>
  <c r="AK18" i="3"/>
  <c r="AU53" i="3"/>
  <c r="J33" i="3"/>
  <c r="BI23" i="3"/>
  <c r="BJ37" i="3"/>
  <c r="BB28" i="3"/>
  <c r="AF45" i="3"/>
  <c r="R32" i="3"/>
  <c r="K23" i="3"/>
  <c r="AA38" i="3"/>
  <c r="H22" i="3"/>
  <c r="K11" i="3"/>
  <c r="AC29" i="3"/>
  <c r="BB13" i="3"/>
  <c r="L5" i="3"/>
  <c r="M16" i="3"/>
  <c r="V6" i="3"/>
  <c r="AX16" i="3"/>
  <c r="AS6" i="3"/>
  <c r="AZ17" i="3"/>
  <c r="BE7" i="3"/>
  <c r="V19" i="3"/>
  <c r="G24" i="3"/>
  <c r="AQ15" i="3"/>
  <c r="BG19" i="3"/>
  <c r="AW9" i="3"/>
  <c r="O23" i="3"/>
  <c r="X11" i="3"/>
  <c r="BK33" i="3"/>
  <c r="AO12" i="3"/>
  <c r="AN12" i="3"/>
  <c r="H12" i="3"/>
  <c r="O20" i="3"/>
  <c r="BG6" i="3"/>
  <c r="AH17" i="3"/>
  <c r="W5" i="3"/>
  <c r="BL15" i="3"/>
  <c r="BJ29" i="3"/>
  <c r="AD13" i="3"/>
  <c r="AF27" i="3"/>
  <c r="BH13" i="3"/>
  <c r="BB37" i="3"/>
  <c r="BF14" i="3"/>
  <c r="AQ5" i="3"/>
  <c r="AA17" i="3"/>
  <c r="AO6" i="3"/>
  <c r="S6" i="3"/>
  <c r="S7" i="3"/>
  <c r="U19" i="3"/>
  <c r="F16" i="3"/>
  <c r="F7" i="3"/>
  <c r="F61" i="3"/>
  <c r="F14" i="3"/>
  <c r="F11" i="3"/>
  <c r="F57" i="3"/>
  <c r="AB106" i="3"/>
  <c r="AI85" i="3"/>
  <c r="AC51" i="3"/>
  <c r="U40" i="3"/>
  <c r="AE77" i="3"/>
  <c r="X79" i="3"/>
  <c r="BJ79" i="3"/>
  <c r="L84" i="3"/>
  <c r="V71" i="3"/>
  <c r="AS71" i="3"/>
  <c r="BB72" i="3"/>
  <c r="J83" i="3"/>
  <c r="AO71" i="3"/>
  <c r="AY65" i="3"/>
  <c r="L82" i="3"/>
  <c r="AX50" i="3"/>
  <c r="AN29" i="3"/>
  <c r="H15" i="3"/>
  <c r="BM51" i="3"/>
  <c r="AC35" i="3"/>
  <c r="L22" i="3"/>
  <c r="G64" i="3"/>
  <c r="BA43" i="3"/>
  <c r="M30" i="3"/>
  <c r="BI16" i="3"/>
  <c r="AX52" i="3"/>
  <c r="BJ36" i="3"/>
  <c r="T24" i="3"/>
  <c r="AW52" i="3"/>
  <c r="S50" i="3"/>
  <c r="G56" i="3"/>
  <c r="BH56" i="3"/>
  <c r="BA44" i="3"/>
  <c r="AR55" i="3"/>
  <c r="AA41" i="3"/>
  <c r="BC73" i="3"/>
  <c r="AG53" i="3"/>
  <c r="AK42" i="3"/>
  <c r="AA73" i="3"/>
  <c r="AO55" i="3"/>
  <c r="AG45" i="3"/>
  <c r="BC62" i="3"/>
  <c r="W51" i="3"/>
  <c r="J62" i="3"/>
  <c r="BJ50" i="3"/>
  <c r="W41" i="3"/>
  <c r="AB33" i="3"/>
  <c r="BC59" i="3"/>
  <c r="AT49" i="3"/>
  <c r="U85" i="3"/>
  <c r="AJ55" i="3"/>
  <c r="AC45" i="3"/>
  <c r="K36" i="3"/>
  <c r="N59" i="3"/>
  <c r="BC48" i="3"/>
  <c r="W38" i="3"/>
  <c r="AT57" i="3"/>
  <c r="W47" i="3"/>
  <c r="AB70" i="3"/>
  <c r="AG55" i="3"/>
  <c r="BF43" i="3"/>
  <c r="AK68" i="3"/>
  <c r="J54" i="3"/>
  <c r="P43" i="3"/>
  <c r="T30" i="3"/>
  <c r="AJ20" i="3"/>
  <c r="AT12" i="3"/>
  <c r="BG5" i="3"/>
  <c r="AU36" i="3"/>
  <c r="R27" i="3"/>
  <c r="AX18" i="3"/>
  <c r="H11" i="3"/>
  <c r="T34" i="3"/>
  <c r="AH24" i="3"/>
  <c r="AL16" i="3"/>
  <c r="BE9" i="3"/>
  <c r="AK39" i="3"/>
  <c r="AD29" i="3"/>
  <c r="J20" i="3"/>
  <c r="BL12" i="3"/>
  <c r="AJ5" i="3"/>
  <c r="AQ37" i="3"/>
  <c r="AX60" i="3"/>
  <c r="AL30" i="3"/>
  <c r="AF32" i="3"/>
  <c r="BM44" i="3"/>
  <c r="Y29" i="3"/>
  <c r="AX19" i="3"/>
  <c r="AK12" i="3"/>
  <c r="T47" i="3"/>
  <c r="AE30" i="3"/>
  <c r="AH37" i="3"/>
  <c r="AT26" i="3"/>
  <c r="BF41" i="3"/>
  <c r="AU42" i="3"/>
  <c r="AS29" i="3"/>
  <c r="X20" i="3"/>
  <c r="AG12" i="3"/>
  <c r="AA36" i="3"/>
  <c r="AQ26" i="3"/>
  <c r="Z36" i="3"/>
  <c r="Y27" i="3"/>
  <c r="N18" i="3"/>
  <c r="AY48" i="3"/>
  <c r="AW32" i="3"/>
  <c r="AK23" i="3"/>
  <c r="W37" i="3"/>
  <c r="AD28" i="3"/>
  <c r="AD44" i="3"/>
  <c r="BJ31" i="3"/>
  <c r="AX22" i="3"/>
  <c r="BD37" i="3"/>
  <c r="AC21" i="3"/>
  <c r="AV10" i="3"/>
  <c r="P28" i="3"/>
  <c r="X13" i="3"/>
  <c r="AZ15" i="3"/>
  <c r="BK5" i="3"/>
  <c r="L16" i="3"/>
  <c r="U6" i="3"/>
  <c r="O17" i="3"/>
  <c r="AF7" i="3"/>
  <c r="BC18" i="3"/>
  <c r="U23" i="3"/>
  <c r="J15" i="3"/>
  <c r="Q19" i="3"/>
  <c r="X9" i="3"/>
  <c r="AL22" i="3"/>
  <c r="BK10" i="3"/>
  <c r="BG28" i="3"/>
  <c r="K12" i="3"/>
  <c r="I12" i="3"/>
  <c r="Y38" i="3"/>
  <c r="AY11" i="3"/>
  <c r="AW19" i="3"/>
  <c r="AI6" i="3"/>
  <c r="AD16" i="3"/>
  <c r="AD15" i="3"/>
  <c r="AI28" i="3"/>
  <c r="AH12" i="3"/>
  <c r="AA26" i="3"/>
  <c r="AB13" i="3"/>
  <c r="AT29" i="3"/>
  <c r="Z14" i="3"/>
  <c r="O5" i="3"/>
  <c r="BD16" i="3"/>
  <c r="AD5" i="3"/>
  <c r="N5" i="3"/>
  <c r="N14" i="3"/>
  <c r="AT16" i="3"/>
  <c r="BM10" i="3"/>
  <c r="F113" i="3"/>
  <c r="F53" i="3"/>
  <c r="F70" i="3"/>
  <c r="F100" i="3"/>
  <c r="F19" i="3"/>
  <c r="BL106" i="3"/>
  <c r="BF77" i="3"/>
  <c r="AW47" i="3"/>
  <c r="AF92" i="3"/>
  <c r="AY73" i="3"/>
  <c r="BH77" i="3"/>
  <c r="T78" i="3"/>
  <c r="BB81" i="3"/>
  <c r="K70" i="3"/>
  <c r="BH70" i="3"/>
  <c r="S106" i="3"/>
  <c r="AP78" i="3"/>
  <c r="BB70" i="3"/>
  <c r="G65" i="3"/>
  <c r="AC81" i="3"/>
  <c r="Z48" i="3"/>
  <c r="T29" i="3"/>
  <c r="BA14" i="3"/>
  <c r="AK51" i="3"/>
  <c r="I35" i="3"/>
  <c r="AK21" i="3"/>
  <c r="V61" i="3"/>
  <c r="AC43" i="3"/>
  <c r="BF29" i="3"/>
  <c r="U16" i="3"/>
  <c r="T52" i="3"/>
  <c r="AP36" i="3"/>
  <c r="AS23" i="3"/>
  <c r="S52" i="3"/>
  <c r="BC49" i="3"/>
  <c r="AX55" i="3"/>
  <c r="AF56" i="3"/>
  <c r="AC44" i="3"/>
  <c r="BL53" i="3"/>
  <c r="AR40" i="3"/>
  <c r="BG70" i="3"/>
  <c r="BC51" i="3"/>
  <c r="M42" i="3"/>
  <c r="AZ70" i="3"/>
  <c r="N55" i="3"/>
  <c r="I45" i="3"/>
  <c r="O62" i="3"/>
  <c r="BK50" i="3"/>
  <c r="AP61" i="3"/>
  <c r="AK50" i="3"/>
  <c r="BL40" i="3"/>
  <c r="H33" i="3"/>
  <c r="P59" i="3"/>
  <c r="U49" i="3"/>
  <c r="AY71" i="3"/>
  <c r="J55" i="3"/>
  <c r="AT44" i="3"/>
  <c r="BD35" i="3"/>
  <c r="AV58" i="3"/>
  <c r="G48" i="3"/>
  <c r="AS37" i="3"/>
  <c r="M57" i="3"/>
  <c r="AY45" i="3"/>
  <c r="AG69" i="3"/>
  <c r="AO54" i="3"/>
  <c r="AH43" i="3"/>
  <c r="AW66" i="3"/>
  <c r="AV53" i="3"/>
  <c r="Q42" i="3"/>
  <c r="BI29" i="3"/>
  <c r="M20" i="3"/>
  <c r="Y12" i="3"/>
  <c r="AM5" i="3"/>
  <c r="L36" i="3"/>
  <c r="BG26" i="3"/>
  <c r="AA18" i="3"/>
  <c r="BA10" i="3"/>
  <c r="BD33" i="3"/>
  <c r="J24" i="3"/>
  <c r="O16" i="3"/>
  <c r="AK9" i="3"/>
  <c r="BF38" i="3"/>
  <c r="AU28" i="3"/>
  <c r="BC19" i="3"/>
  <c r="AP12" i="3"/>
  <c r="P5" i="3"/>
  <c r="G37" i="3"/>
  <c r="BH49" i="3"/>
  <c r="J30" i="3"/>
  <c r="G32" i="3"/>
  <c r="BM42" i="3"/>
  <c r="AL28" i="3"/>
  <c r="X19" i="3"/>
  <c r="P12" i="3"/>
  <c r="BD44" i="3"/>
  <c r="G30" i="3"/>
  <c r="AD36" i="3"/>
  <c r="V26" i="3"/>
  <c r="BA40" i="3"/>
  <c r="BA41" i="3"/>
  <c r="U29" i="3"/>
  <c r="AQ19" i="3"/>
  <c r="L12" i="3"/>
  <c r="BL35" i="3"/>
  <c r="S26" i="3"/>
  <c r="BK35" i="3"/>
  <c r="AP26" i="3"/>
  <c r="BA17" i="3"/>
  <c r="AP45" i="3"/>
  <c r="T32" i="3"/>
  <c r="M23" i="3"/>
  <c r="BB36" i="3"/>
  <c r="AY27" i="3"/>
  <c r="W43" i="3"/>
  <c r="AJ31" i="3"/>
  <c r="AA22" i="3"/>
  <c r="U37" i="3"/>
  <c r="AZ20" i="3"/>
  <c r="V10" i="3"/>
  <c r="N27" i="3"/>
  <c r="BE12" i="3"/>
  <c r="T15" i="3"/>
  <c r="AI5" i="3"/>
  <c r="AY15" i="3"/>
  <c r="BJ5" i="3"/>
  <c r="AV16" i="3"/>
  <c r="BE114" i="3"/>
  <c r="AB97" i="3"/>
  <c r="BJ44" i="3"/>
  <c r="BI78" i="3"/>
  <c r="N72" i="3"/>
  <c r="BL75" i="3"/>
  <c r="Y76" i="3"/>
  <c r="AZ78" i="3"/>
  <c r="U68" i="3"/>
  <c r="AH70" i="3"/>
  <c r="BH84" i="3"/>
  <c r="I78" i="3"/>
  <c r="AD70" i="3"/>
  <c r="AY64" i="3"/>
  <c r="P80" i="3"/>
  <c r="S47" i="3"/>
  <c r="BM28" i="3"/>
  <c r="AG14" i="3"/>
  <c r="L51" i="3"/>
  <c r="BB34" i="3"/>
  <c r="Q21" i="3"/>
  <c r="AM56" i="3"/>
  <c r="AR42" i="3"/>
  <c r="AL29" i="3"/>
  <c r="AK77" i="3"/>
  <c r="AT50" i="3"/>
  <c r="V36" i="3"/>
  <c r="Y23" i="3"/>
  <c r="BI51" i="3"/>
  <c r="AC49" i="3"/>
  <c r="R55" i="3"/>
  <c r="AS55" i="3"/>
  <c r="AV43" i="3"/>
  <c r="M52" i="3"/>
  <c r="P40" i="3"/>
  <c r="BG69" i="3"/>
  <c r="Y51" i="3"/>
  <c r="AX41" i="3"/>
  <c r="BE69" i="3"/>
  <c r="AX54" i="3"/>
  <c r="AX44" i="3"/>
  <c r="AQ61" i="3"/>
  <c r="AL50" i="3"/>
  <c r="AA60" i="3"/>
  <c r="H50" i="3"/>
  <c r="AJ40" i="3"/>
  <c r="BA32" i="3"/>
  <c r="BC58" i="3"/>
  <c r="BE48" i="3"/>
  <c r="AP70" i="3"/>
  <c r="AR54" i="3"/>
  <c r="R44" i="3"/>
  <c r="AJ35" i="3"/>
  <c r="AU57" i="3"/>
  <c r="AZ47" i="3"/>
  <c r="Y37" i="3"/>
  <c r="AW56" i="3"/>
  <c r="AA45" i="3"/>
  <c r="AL68" i="3"/>
  <c r="O54" i="3"/>
  <c r="J43" i="3"/>
  <c r="BH65" i="3"/>
  <c r="V53" i="3"/>
  <c r="M41" i="3"/>
  <c r="AG29" i="3"/>
  <c r="BF19" i="3"/>
  <c r="AW11" i="3"/>
  <c r="S5" i="3"/>
  <c r="AZ35" i="3"/>
  <c r="AE26" i="3"/>
  <c r="AT17" i="3"/>
  <c r="AG10" i="3"/>
  <c r="AE55" i="3"/>
  <c r="AC33" i="3"/>
  <c r="BB23" i="3"/>
  <c r="BH15" i="3"/>
  <c r="Q9" i="3"/>
  <c r="N38" i="3"/>
  <c r="S28" i="3"/>
  <c r="AF19" i="3"/>
  <c r="U12" i="3"/>
  <c r="AM36" i="3"/>
  <c r="AR47" i="3"/>
  <c r="AY29" i="3"/>
  <c r="AY31" i="3"/>
  <c r="BM41" i="3"/>
  <c r="N28" i="3"/>
  <c r="AQ18" i="3"/>
  <c r="BI11" i="3"/>
  <c r="BE43" i="3"/>
  <c r="AV29" i="3"/>
  <c r="AI35" i="3"/>
  <c r="AX24" i="3"/>
  <c r="N39" i="3"/>
  <c r="AV40" i="3"/>
  <c r="BF28" i="3"/>
  <c r="T19" i="3"/>
  <c r="BE11" i="3"/>
  <c r="AF35" i="3"/>
  <c r="AU24" i="3"/>
  <c r="AE35" i="3"/>
  <c r="R26" i="3"/>
  <c r="AD17" i="3"/>
  <c r="AF44" i="3"/>
  <c r="BL31" i="3"/>
  <c r="BC22" i="3"/>
  <c r="T36" i="3"/>
  <c r="W27" i="3"/>
  <c r="X42" i="3"/>
  <c r="K31" i="3"/>
  <c r="AT21" i="3"/>
  <c r="AX36" i="3"/>
  <c r="AE19" i="3"/>
  <c r="BJ9" i="3"/>
  <c r="I26" i="3"/>
  <c r="AA12" i="3"/>
  <c r="U43" i="3"/>
  <c r="AZ14" i="3"/>
  <c r="K5" i="3"/>
  <c r="O15" i="3"/>
  <c r="AH5" i="3"/>
  <c r="K16" i="3"/>
  <c r="T6" i="3"/>
  <c r="AY17" i="3"/>
  <c r="BJ21" i="3"/>
  <c r="K14" i="3"/>
  <c r="I18" i="3"/>
  <c r="AH8" i="3"/>
  <c r="AC20" i="3"/>
  <c r="I10" i="3"/>
  <c r="BD26" i="3"/>
  <c r="W11" i="3"/>
  <c r="BI31" i="3"/>
  <c r="V11" i="3"/>
  <c r="AG33" i="3"/>
  <c r="BH10" i="3"/>
  <c r="AI17" i="3"/>
  <c r="AV5" i="3"/>
  <c r="AE15" i="3"/>
  <c r="AJ68" i="3"/>
  <c r="AE14" i="3"/>
  <c r="AB26" i="3"/>
  <c r="O11" i="3"/>
  <c r="AX23" i="3"/>
  <c r="AF12" i="3"/>
  <c r="U27" i="3"/>
  <c r="AA13" i="3"/>
  <c r="BD15" i="3"/>
  <c r="O18" i="3"/>
  <c r="Q10" i="3"/>
  <c r="AK8" i="3"/>
  <c r="J8" i="3"/>
  <c r="AQ6" i="3"/>
  <c r="BB127" i="3"/>
  <c r="BH85" i="3"/>
  <c r="AA43" i="3"/>
  <c r="G75" i="3"/>
  <c r="BL66" i="3"/>
  <c r="BI72" i="3"/>
  <c r="BG72" i="3"/>
  <c r="BI75" i="3"/>
  <c r="N65" i="3"/>
  <c r="AR68" i="3"/>
  <c r="N79" i="3"/>
  <c r="M77" i="3"/>
  <c r="AN68" i="3"/>
  <c r="AM86" i="3"/>
  <c r="AM79" i="3"/>
  <c r="AJ44" i="3"/>
  <c r="AS28" i="3"/>
  <c r="M14" i="3"/>
  <c r="AW50" i="3"/>
  <c r="AH34" i="3"/>
  <c r="BJ20" i="3"/>
  <c r="BB55" i="3"/>
  <c r="I41" i="3"/>
  <c r="R29" i="3"/>
  <c r="O74" i="3"/>
  <c r="S48" i="3"/>
  <c r="AU35" i="3"/>
  <c r="BE80" i="3"/>
  <c r="K68" i="3"/>
  <c r="AS48" i="3"/>
  <c r="H53" i="3"/>
  <c r="Q55" i="3"/>
  <c r="T43" i="3"/>
  <c r="BD51" i="3"/>
  <c r="BG39" i="3"/>
  <c r="Q66" i="3"/>
  <c r="BM50" i="3"/>
  <c r="Z41" i="3"/>
  <c r="BJ68" i="3"/>
  <c r="V54" i="3"/>
  <c r="Z44" i="3"/>
  <c r="AB60" i="3"/>
  <c r="I50" i="3"/>
  <c r="BD59" i="3"/>
  <c r="AU49" i="3"/>
  <c r="L40" i="3"/>
  <c r="AG32" i="3"/>
  <c r="R58" i="3"/>
  <c r="AG48" i="3"/>
  <c r="AO69" i="3"/>
  <c r="R54" i="3"/>
  <c r="BI43" i="3"/>
  <c r="BI34" i="3"/>
  <c r="O57" i="3"/>
  <c r="X47" i="3"/>
  <c r="K75" i="3"/>
  <c r="S56" i="3"/>
  <c r="AR44" i="3"/>
  <c r="BB66" i="3"/>
  <c r="AW53" i="3"/>
  <c r="BA42" i="3"/>
  <c r="N64" i="3"/>
  <c r="BD52" i="3"/>
  <c r="X40" i="3"/>
  <c r="I29" i="3"/>
  <c r="AI19" i="3"/>
  <c r="AC11" i="3"/>
  <c r="Q35" i="3"/>
  <c r="G26" i="3"/>
  <c r="W17" i="3"/>
  <c r="M10" i="3"/>
  <c r="BB52" i="3"/>
  <c r="AL32" i="3"/>
  <c r="AD23" i="3"/>
  <c r="AL15" i="3"/>
  <c r="BJ8" i="3"/>
  <c r="AU37" i="3"/>
  <c r="BL27" i="3"/>
  <c r="I19" i="3"/>
  <c r="AT11" i="3"/>
  <c r="G36" i="3"/>
  <c r="AF39" i="3"/>
  <c r="AA29" i="3"/>
  <c r="V31" i="3"/>
  <c r="U39" i="3"/>
  <c r="BG27" i="3"/>
  <c r="T18" i="3"/>
  <c r="AO11" i="3"/>
  <c r="BL42" i="3"/>
  <c r="X29" i="3"/>
  <c r="AM34" i="3"/>
  <c r="Z24" i="3"/>
  <c r="AP38" i="3"/>
  <c r="BK39" i="3"/>
  <c r="AH28" i="3"/>
  <c r="BJ18" i="3"/>
  <c r="AK11" i="3"/>
  <c r="BM34" i="3"/>
  <c r="S24" i="3"/>
  <c r="BL34" i="3"/>
  <c r="AT24" i="3"/>
  <c r="G17" i="3"/>
  <c r="AG43" i="3"/>
  <c r="AM31" i="3"/>
  <c r="AC22" i="3"/>
  <c r="BG35" i="3"/>
  <c r="BL26" i="3"/>
  <c r="AD41" i="3"/>
  <c r="AU30" i="3"/>
  <c r="W21" i="3"/>
  <c r="R36" i="3"/>
  <c r="BI18" i="3"/>
  <c r="AG9" i="3"/>
  <c r="AA24" i="3"/>
  <c r="BL11" i="3"/>
  <c r="AV34" i="3"/>
  <c r="V14" i="3"/>
  <c r="AY14" i="3"/>
  <c r="J5" i="3"/>
  <c r="AW15" i="3"/>
  <c r="BI5" i="3"/>
  <c r="N17" i="3"/>
  <c r="K21" i="3"/>
  <c r="AT13" i="3"/>
  <c r="AV17" i="3"/>
  <c r="I8" i="3"/>
  <c r="BB19" i="3"/>
  <c r="AV9" i="3"/>
  <c r="BC24" i="3"/>
  <c r="BJ10" i="3"/>
  <c r="AZ28" i="3"/>
  <c r="BI10" i="3"/>
  <c r="BH31" i="3"/>
  <c r="AI10" i="3"/>
  <c r="AE16" i="3"/>
  <c r="X5" i="3"/>
  <c r="AF14" i="3"/>
  <c r="M35" i="3"/>
  <c r="AF13" i="3"/>
  <c r="BD99" i="3"/>
  <c r="S111" i="3"/>
  <c r="AU39" i="3"/>
  <c r="BL72" i="3"/>
  <c r="BL64" i="3"/>
  <c r="O70" i="3"/>
  <c r="AM70" i="3"/>
  <c r="BF72" i="3"/>
  <c r="T63" i="3"/>
  <c r="AH65" i="3"/>
  <c r="AT78" i="3"/>
  <c r="AW76" i="3"/>
  <c r="AD65" i="3"/>
  <c r="BJ80" i="3"/>
  <c r="AR75" i="3"/>
  <c r="L44" i="3"/>
  <c r="J27" i="3"/>
  <c r="BK12" i="3"/>
  <c r="W50" i="3"/>
  <c r="N34" i="3"/>
  <c r="AP20" i="3"/>
  <c r="X55" i="3"/>
  <c r="AL38" i="3"/>
  <c r="BK28" i="3"/>
  <c r="S72" i="3"/>
  <c r="BL47" i="3"/>
  <c r="AA35" i="3"/>
  <c r="L72" i="3"/>
  <c r="BI62" i="3"/>
  <c r="Q48" i="3"/>
  <c r="BF51" i="3"/>
  <c r="BE54" i="3"/>
  <c r="BK42" i="3"/>
  <c r="AD51" i="3"/>
  <c r="AI39" i="3"/>
  <c r="Y65" i="3"/>
  <c r="O50" i="3"/>
  <c r="AQ40" i="3"/>
  <c r="O66" i="3"/>
  <c r="BJ53" i="3"/>
  <c r="AO43" i="3"/>
  <c r="BF59" i="3"/>
  <c r="AV49" i="3"/>
  <c r="Q59" i="3"/>
  <c r="V49" i="3"/>
  <c r="BC39" i="3"/>
  <c r="M32" i="3"/>
  <c r="AY57" i="3"/>
  <c r="I48" i="3"/>
  <c r="AZ68" i="3"/>
  <c r="BB53" i="3"/>
  <c r="M43" i="3"/>
  <c r="AO34" i="3"/>
  <c r="AX56" i="3"/>
  <c r="AZ45" i="3"/>
  <c r="BJ72" i="3"/>
  <c r="BI55" i="3"/>
  <c r="P44" i="3"/>
  <c r="BJ65" i="3"/>
  <c r="W53" i="3"/>
  <c r="Y42" i="3"/>
  <c r="AX63" i="3"/>
  <c r="AC52" i="3"/>
  <c r="AV39" i="3"/>
  <c r="AX28" i="3"/>
  <c r="L19" i="3"/>
  <c r="I11" i="3"/>
  <c r="AY34" i="3"/>
  <c r="BG24" i="3"/>
  <c r="BM16" i="3"/>
  <c r="BF9" i="3"/>
  <c r="H45" i="3"/>
  <c r="L32" i="3"/>
  <c r="AS22" i="3"/>
  <c r="Q15" i="3"/>
  <c r="AP8" i="3"/>
  <c r="J37" i="3"/>
  <c r="AN27" i="3"/>
  <c r="AV18" i="3"/>
  <c r="Z11" i="3"/>
  <c r="AR35" i="3"/>
  <c r="BC38" i="3"/>
  <c r="Z70" i="3"/>
  <c r="BI30" i="3"/>
  <c r="AY38" i="3"/>
  <c r="AI27" i="3"/>
  <c r="BJ17" i="3"/>
  <c r="U11" i="3"/>
  <c r="BL41" i="3"/>
  <c r="BI28" i="3"/>
  <c r="H34" i="3"/>
  <c r="AP23" i="3"/>
  <c r="AG37" i="3"/>
  <c r="M39" i="3"/>
  <c r="J28" i="3"/>
  <c r="AM18" i="3"/>
  <c r="Q11" i="3"/>
  <c r="AJ34" i="3"/>
  <c r="BK23" i="3"/>
  <c r="AE34" i="3"/>
  <c r="R24" i="3"/>
  <c r="AW16" i="3"/>
  <c r="AN42" i="3"/>
  <c r="M31" i="3"/>
  <c r="AV21" i="3"/>
  <c r="Y35" i="3"/>
  <c r="AN26" i="3"/>
  <c r="AK40" i="3"/>
  <c r="W30" i="3"/>
  <c r="BM20" i="3"/>
  <c r="BC35" i="3"/>
  <c r="W18" i="3"/>
  <c r="G9" i="3"/>
  <c r="AH23" i="3"/>
  <c r="AJ11" i="3"/>
  <c r="AJ32" i="3"/>
  <c r="BA13" i="3"/>
  <c r="Q14" i="3"/>
  <c r="N15" i="3"/>
  <c r="AG5" i="3"/>
  <c r="AU16" i="3"/>
  <c r="AF20" i="3"/>
  <c r="L13" i="3"/>
  <c r="J17" i="3"/>
  <c r="BA7" i="3"/>
  <c r="P19" i="3"/>
  <c r="W9" i="3"/>
  <c r="J23" i="3"/>
  <c r="AK10" i="3"/>
  <c r="BD27" i="3"/>
  <c r="AJ10" i="3"/>
  <c r="AY28" i="3"/>
  <c r="AS9" i="3"/>
  <c r="AG15" i="3"/>
  <c r="AG13" i="3"/>
  <c r="AH31" i="3"/>
  <c r="AI12" i="3"/>
  <c r="AY23" i="3"/>
  <c r="AA10" i="3"/>
  <c r="Q22" i="3"/>
  <c r="N11" i="3"/>
  <c r="AE24" i="3"/>
  <c r="AD12" i="3"/>
  <c r="BI32" i="3"/>
  <c r="AS70" i="3"/>
  <c r="AW89" i="3"/>
  <c r="V87" i="3"/>
  <c r="BD68" i="3"/>
  <c r="Z63" i="3"/>
  <c r="BF69" i="3"/>
  <c r="M70" i="3"/>
  <c r="AF72" i="3"/>
  <c r="BM62" i="3"/>
  <c r="AM63" i="3"/>
  <c r="AU77" i="3"/>
  <c r="BC74" i="3"/>
  <c r="AV95" i="3"/>
  <c r="AR79" i="3"/>
  <c r="AR72" i="3"/>
  <c r="BC43" i="3"/>
  <c r="W24" i="3"/>
  <c r="Q69" i="3"/>
  <c r="BK49" i="3"/>
  <c r="BG33" i="3"/>
  <c r="V20" i="3"/>
  <c r="BJ54" i="3"/>
  <c r="BG37" i="3"/>
  <c r="AQ28" i="3"/>
  <c r="H71" i="3"/>
  <c r="P47" i="3"/>
  <c r="G35" i="3"/>
  <c r="G69" i="3"/>
  <c r="U62" i="3"/>
  <c r="BJ47" i="3"/>
  <c r="AQ50" i="3"/>
  <c r="Z54" i="3"/>
  <c r="AM42" i="3"/>
  <c r="AO50" i="3"/>
  <c r="K39" i="3"/>
  <c r="AI64" i="3"/>
  <c r="AX49" i="3"/>
  <c r="O40" i="3"/>
  <c r="X65" i="3"/>
  <c r="AE53" i="3"/>
  <c r="Q43" i="3"/>
  <c r="R59" i="3"/>
  <c r="W49" i="3"/>
  <c r="BD58" i="3"/>
  <c r="BF48" i="3"/>
  <c r="AE39" i="3"/>
  <c r="BF31" i="3"/>
  <c r="U57" i="3"/>
  <c r="BB47" i="3"/>
  <c r="AA64" i="3"/>
  <c r="BM52" i="3"/>
  <c r="BD42" i="3"/>
  <c r="U34" i="3"/>
  <c r="T56" i="3"/>
  <c r="AB45" i="3"/>
  <c r="AJ71" i="3"/>
  <c r="AH55" i="3"/>
  <c r="BG43" i="3"/>
  <c r="S64" i="3"/>
  <c r="BF52" i="3"/>
  <c r="AP41" i="3"/>
  <c r="J63" i="3"/>
  <c r="AO51" i="3"/>
  <c r="V38" i="3"/>
  <c r="Z28" i="3"/>
  <c r="BB18" i="3"/>
  <c r="BB10" i="3"/>
  <c r="V34" i="3"/>
  <c r="AI24" i="3"/>
  <c r="AM16" i="3"/>
  <c r="AL9" i="3"/>
  <c r="G44" i="3"/>
  <c r="BD31" i="3"/>
  <c r="V22" i="3"/>
  <c r="BI14" i="3"/>
  <c r="V8" i="3"/>
  <c r="AO36" i="3"/>
  <c r="P27" i="3"/>
  <c r="Y18" i="3"/>
  <c r="AY10" i="3"/>
  <c r="BK47" i="3"/>
  <c r="L35" i="3"/>
  <c r="K38" i="3"/>
  <c r="AS63" i="3"/>
  <c r="AK30" i="3"/>
  <c r="AJ37" i="3"/>
  <c r="K27" i="3"/>
  <c r="AM17" i="3"/>
  <c r="AT10" i="3"/>
  <c r="BM40" i="3"/>
  <c r="AK28" i="3"/>
  <c r="AT33" i="3"/>
  <c r="R23" i="3"/>
  <c r="BI36" i="3"/>
  <c r="AO38" i="3"/>
  <c r="BC27" i="3"/>
  <c r="P18" i="3"/>
  <c r="S69" i="3"/>
  <c r="AQ33" i="3"/>
  <c r="AM23" i="3"/>
  <c r="AP33" i="3"/>
  <c r="BJ23" i="3"/>
  <c r="Z16" i="3"/>
  <c r="AN41" i="3"/>
  <c r="AW30" i="3"/>
  <c r="Y21" i="3"/>
  <c r="BH34" i="3"/>
  <c r="P26" i="3"/>
  <c r="BD39" i="3"/>
  <c r="BL29" i="3"/>
  <c r="AM20" i="3"/>
  <c r="W35" i="3"/>
  <c r="BI17" i="3"/>
  <c r="AU8" i="3"/>
  <c r="BG22" i="3"/>
  <c r="J11" i="3"/>
  <c r="V29" i="3"/>
  <c r="S13" i="3"/>
  <c r="Y34" i="3"/>
  <c r="AY13" i="3"/>
  <c r="AW14" i="3"/>
  <c r="I5" i="3"/>
  <c r="J16" i="3"/>
  <c r="V30" i="3"/>
  <c r="AW12" i="3"/>
  <c r="AR16" i="3"/>
  <c r="X7" i="3"/>
  <c r="AR18" i="3"/>
  <c r="BG8" i="3"/>
  <c r="AJ22" i="3"/>
  <c r="H10" i="3"/>
  <c r="AY26" i="3"/>
  <c r="G10" i="3"/>
  <c r="AS27" i="3"/>
  <c r="T9" i="3"/>
  <c r="AI14" i="3"/>
  <c r="BL78" i="3"/>
  <c r="AV79" i="3"/>
  <c r="AX83" i="3"/>
  <c r="AP65" i="3"/>
  <c r="AT59" i="3"/>
  <c r="AY68" i="3"/>
  <c r="AW68" i="3"/>
  <c r="BJ70" i="3"/>
  <c r="AX61" i="3"/>
  <c r="S63" i="3"/>
  <c r="N77" i="3"/>
  <c r="Y72" i="3"/>
  <c r="L91" i="3"/>
  <c r="AR76" i="3"/>
  <c r="AK84" i="3"/>
  <c r="AE43" i="3"/>
  <c r="AB23" i="3"/>
  <c r="AT66" i="3"/>
  <c r="Y48" i="3"/>
  <c r="AM33" i="3"/>
  <c r="AU19" i="3"/>
  <c r="AJ54" i="3"/>
  <c r="AL37" i="3"/>
  <c r="H27" i="3"/>
  <c r="I70" i="3"/>
  <c r="AR45" i="3"/>
  <c r="BE33" i="3"/>
  <c r="L68" i="3"/>
  <c r="BC61" i="3"/>
  <c r="AL47" i="3"/>
  <c r="R50" i="3"/>
  <c r="BM53" i="3"/>
  <c r="Y86" i="3"/>
  <c r="P50" i="3"/>
  <c r="BB38" i="3"/>
  <c r="Q62" i="3"/>
  <c r="Y49" i="3"/>
  <c r="BF39" i="3"/>
  <c r="AF64" i="3"/>
  <c r="AM52" i="3"/>
  <c r="BH42" i="3"/>
  <c r="BE58" i="3"/>
  <c r="BG48" i="3"/>
  <c r="S58" i="3"/>
  <c r="AH48" i="3"/>
  <c r="AV38" i="3"/>
  <c r="AL31" i="3"/>
  <c r="AZ56" i="3"/>
  <c r="AD47" i="3"/>
  <c r="N63" i="3"/>
  <c r="AG52" i="3"/>
  <c r="AB42" i="3"/>
  <c r="AQ75" i="3"/>
  <c r="BK55" i="3"/>
  <c r="AS44" i="3"/>
  <c r="AG70" i="3"/>
  <c r="AP54" i="3"/>
  <c r="AI43" i="3"/>
  <c r="AY63" i="3"/>
  <c r="AD52" i="3"/>
  <c r="R41" i="3"/>
  <c r="AL62" i="3"/>
  <c r="O51" i="3"/>
  <c r="BA37" i="3"/>
  <c r="AQ27" i="3"/>
  <c r="AB18" i="3"/>
  <c r="AH10" i="3"/>
  <c r="AA71" i="3"/>
  <c r="BI33" i="3"/>
  <c r="K24" i="3"/>
  <c r="P16" i="3"/>
  <c r="R9" i="3"/>
  <c r="H43" i="3"/>
  <c r="AE31" i="3"/>
  <c r="BL21" i="3"/>
  <c r="AN14" i="3"/>
  <c r="AU7" i="3"/>
  <c r="I36" i="3"/>
  <c r="BE26" i="3"/>
  <c r="AR17" i="3"/>
  <c r="AE10" i="3"/>
  <c r="N40" i="3"/>
  <c r="AT34" i="3"/>
  <c r="AP37" i="3"/>
  <c r="J60" i="3"/>
  <c r="I30" i="3"/>
  <c r="AH36" i="3"/>
  <c r="AV26" i="3"/>
  <c r="M17" i="3"/>
  <c r="Z10" i="3"/>
  <c r="T39" i="3"/>
  <c r="M28" i="3"/>
  <c r="P33" i="3"/>
  <c r="BH22" i="3"/>
  <c r="AC36" i="3"/>
  <c r="AD37" i="3"/>
  <c r="AE27" i="3"/>
  <c r="BC17" i="3"/>
  <c r="AK62" i="3"/>
  <c r="M33" i="3"/>
  <c r="J59" i="3"/>
  <c r="K33" i="3"/>
  <c r="AL23" i="3"/>
  <c r="AT15" i="3"/>
  <c r="AS40" i="3"/>
  <c r="Y30" i="3"/>
  <c r="AR20" i="3"/>
  <c r="AC34" i="3"/>
  <c r="AR24" i="3"/>
  <c r="AB38" i="3"/>
  <c r="AJ29" i="3"/>
  <c r="P20" i="3"/>
  <c r="BF34" i="3"/>
  <c r="Z17" i="3"/>
  <c r="R8" i="3"/>
  <c r="AA21" i="3"/>
  <c r="AU10" i="3"/>
  <c r="K28" i="3"/>
  <c r="BD12" i="3"/>
  <c r="Q32" i="3"/>
  <c r="Q13" i="3"/>
  <c r="R34" i="3"/>
  <c r="P14" i="3"/>
  <c r="AS15" i="3"/>
  <c r="S23" i="3"/>
  <c r="O12" i="3"/>
  <c r="AP15" i="3"/>
  <c r="BL6" i="3"/>
  <c r="H18" i="3"/>
  <c r="AG8" i="3"/>
  <c r="BB21" i="3"/>
  <c r="AU9" i="3"/>
  <c r="BB24" i="3"/>
  <c r="AT9" i="3"/>
  <c r="AX26" i="3"/>
  <c r="BC8" i="3"/>
  <c r="AH13" i="3"/>
  <c r="X41" i="3"/>
  <c r="AV81" i="3"/>
  <c r="G100" i="3"/>
  <c r="AP74" i="3"/>
  <c r="AU63" i="3"/>
  <c r="AJ57" i="3"/>
  <c r="P66" i="3"/>
  <c r="N66" i="3"/>
  <c r="AE69" i="3"/>
  <c r="AI60" i="3"/>
  <c r="AR62" i="3"/>
  <c r="W75" i="3"/>
  <c r="AW69" i="3"/>
  <c r="BM87" i="3"/>
  <c r="J76" i="3"/>
  <c r="R69" i="3"/>
  <c r="AT42" i="3"/>
  <c r="BA22" i="3"/>
  <c r="AW65" i="3"/>
  <c r="AI44" i="3"/>
  <c r="S33" i="3"/>
  <c r="AA19" i="3"/>
  <c r="AR53" i="3"/>
  <c r="R37" i="3"/>
  <c r="AO24" i="3"/>
  <c r="K69" i="3"/>
  <c r="T45" i="3"/>
  <c r="V32" i="3"/>
  <c r="AF66" i="3"/>
  <c r="O61" i="3"/>
  <c r="N47" i="3"/>
  <c r="BB49" i="3"/>
  <c r="AI53" i="3"/>
  <c r="AN64" i="3"/>
  <c r="AY49" i="3"/>
  <c r="AF38" i="3"/>
  <c r="BM59" i="3"/>
  <c r="BM48" i="3"/>
  <c r="AH39" i="3"/>
  <c r="BK63" i="3"/>
  <c r="K52" i="3"/>
  <c r="AJ42" i="3"/>
  <c r="T58" i="3"/>
  <c r="AI48" i="3"/>
  <c r="BA57" i="3"/>
  <c r="J48" i="3"/>
  <c r="Z38" i="3"/>
  <c r="R31" i="3"/>
  <c r="Z56" i="3"/>
  <c r="AD45" i="3"/>
  <c r="AQ62" i="3"/>
  <c r="G52" i="3"/>
  <c r="AS41" i="3"/>
  <c r="AW71" i="3"/>
  <c r="AI55" i="3"/>
  <c r="Q44" i="3"/>
  <c r="AI69" i="3"/>
  <c r="P54" i="3"/>
  <c r="K43" i="3"/>
  <c r="K63" i="3"/>
  <c r="AQ51" i="3"/>
  <c r="BC40" i="3"/>
  <c r="Z61" i="3"/>
  <c r="BD50" i="3"/>
  <c r="O37" i="3"/>
  <c r="S27" i="3"/>
  <c r="AU17" i="3"/>
  <c r="N10" i="3"/>
  <c r="K64" i="3"/>
  <c r="AD33" i="3"/>
  <c r="BC23" i="3"/>
  <c r="BI15" i="3"/>
  <c r="BK8" i="3"/>
  <c r="G42" i="3"/>
  <c r="AP30" i="3"/>
  <c r="AO21" i="3"/>
  <c r="S14" i="3"/>
  <c r="AA7" i="3"/>
  <c r="AT35" i="3"/>
  <c r="AC26" i="3"/>
  <c r="U17" i="3"/>
  <c r="K10" i="3"/>
  <c r="AJ39" i="3"/>
  <c r="Q34" i="3"/>
  <c r="AL36" i="3"/>
  <c r="AQ57" i="3"/>
  <c r="AX29" i="3"/>
  <c r="AM35" i="3"/>
  <c r="X26" i="3"/>
  <c r="BC16" i="3"/>
  <c r="AY9" i="3"/>
  <c r="AU38" i="3"/>
  <c r="BF27" i="3"/>
  <c r="BC32" i="3"/>
  <c r="AK22" i="3"/>
  <c r="AH35" i="3"/>
  <c r="BH36" i="3"/>
  <c r="AR26" i="3"/>
  <c r="AF17" i="3"/>
  <c r="AS59" i="3"/>
  <c r="AY32" i="3"/>
  <c r="AT56" i="3"/>
  <c r="AX32" i="3"/>
  <c r="N23" i="3"/>
  <c r="Y15" i="3"/>
  <c r="BH39" i="3"/>
  <c r="AP29" i="3"/>
  <c r="R20" i="3"/>
  <c r="AJ33" i="3"/>
  <c r="P24" i="3"/>
  <c r="BE37" i="3"/>
  <c r="L29" i="3"/>
  <c r="BI19" i="3"/>
  <c r="Z34" i="3"/>
  <c r="BB16" i="3"/>
  <c r="BJ7" i="3"/>
  <c r="AX20" i="3"/>
  <c r="U10" i="3"/>
  <c r="M27" i="3"/>
  <c r="Z12" i="3"/>
  <c r="BM30" i="3"/>
  <c r="BC12" i="3"/>
  <c r="P32" i="3"/>
  <c r="AW13" i="3"/>
  <c r="M15" i="3"/>
  <c r="AO22" i="3"/>
  <c r="BD11" i="3"/>
  <c r="I104" i="3"/>
  <c r="S86" i="3"/>
  <c r="Q72" i="3"/>
  <c r="AP60" i="3"/>
  <c r="U56" i="3"/>
  <c r="T64" i="3"/>
  <c r="R64" i="3"/>
  <c r="BF65" i="3"/>
  <c r="AS58" i="3"/>
  <c r="X62" i="3"/>
  <c r="AZ72" i="3"/>
  <c r="X69" i="3"/>
  <c r="AN86" i="3"/>
  <c r="P75" i="3"/>
  <c r="AH68" i="3"/>
  <c r="K41" i="3"/>
  <c r="AG22" i="3"/>
  <c r="BI64" i="3"/>
  <c r="BB43" i="3"/>
  <c r="AW31" i="3"/>
  <c r="G19" i="3"/>
  <c r="N53" i="3"/>
  <c r="BK36" i="3"/>
  <c r="U24" i="3"/>
  <c r="S68" i="3"/>
  <c r="BE44" i="3"/>
  <c r="AU31" i="3"/>
  <c r="AN65" i="3"/>
  <c r="AN60" i="3"/>
  <c r="BD83" i="3"/>
  <c r="AB49" i="3"/>
  <c r="G53" i="3"/>
  <c r="AD63" i="3"/>
  <c r="Z49" i="3"/>
  <c r="H38" i="3"/>
  <c r="Y59" i="3"/>
  <c r="AK48" i="3"/>
  <c r="J39" i="3"/>
  <c r="W63" i="3"/>
  <c r="BB51" i="3"/>
  <c r="H42" i="3"/>
  <c r="BC57" i="3"/>
  <c r="K48" i="3"/>
  <c r="V57" i="3"/>
  <c r="BC47" i="3"/>
  <c r="AV37" i="3"/>
  <c r="BK30" i="3"/>
  <c r="AK55" i="3"/>
  <c r="AU44" i="3"/>
  <c r="AN61" i="3"/>
  <c r="AX51" i="3"/>
  <c r="U41" i="3"/>
  <c r="AN70" i="3"/>
  <c r="AQ54" i="3"/>
  <c r="BH43" i="3"/>
  <c r="AQ68" i="3"/>
  <c r="AY53" i="3"/>
  <c r="BB42" i="3"/>
  <c r="AM62" i="3"/>
  <c r="P51" i="3"/>
  <c r="AE40" i="3"/>
  <c r="AY60" i="3"/>
  <c r="Z50" i="3"/>
  <c r="AV36" i="3"/>
  <c r="BH26" i="3"/>
  <c r="X17" i="3"/>
  <c r="BG9" i="3"/>
  <c r="BE55" i="3"/>
  <c r="AM32" i="3"/>
  <c r="AE23" i="3"/>
  <c r="AM15" i="3"/>
  <c r="AQ8" i="3"/>
  <c r="G41" i="3"/>
  <c r="R30" i="3"/>
  <c r="O21" i="3"/>
  <c r="BK13" i="3"/>
  <c r="G7" i="3"/>
  <c r="N35" i="3"/>
  <c r="BE24" i="3"/>
  <c r="BH16" i="3"/>
  <c r="BD9" i="3"/>
  <c r="BE38" i="3"/>
  <c r="BA33" i="3"/>
  <c r="AQ35" i="3"/>
  <c r="AN49" i="3"/>
  <c r="Z29" i="3"/>
  <c r="AP34" i="3"/>
  <c r="AZ24" i="3"/>
  <c r="AF16" i="3"/>
  <c r="AE9" i="3"/>
  <c r="AI37" i="3"/>
  <c r="AH27" i="3"/>
  <c r="AC32" i="3"/>
  <c r="N22" i="3"/>
  <c r="AL34" i="3"/>
  <c r="AB36" i="3"/>
  <c r="T26" i="3"/>
  <c r="I17" i="3"/>
  <c r="AV45" i="3"/>
  <c r="Z32" i="3"/>
  <c r="AQ45" i="3"/>
  <c r="U32" i="3"/>
  <c r="BD22" i="3"/>
  <c r="AV14" i="3"/>
  <c r="H39" i="3"/>
  <c r="N29" i="3"/>
  <c r="U53" i="3"/>
  <c r="I33" i="3"/>
  <c r="BH23" i="3"/>
  <c r="V37" i="3"/>
  <c r="BA28" i="3"/>
  <c r="AL19" i="3"/>
  <c r="BL33" i="3"/>
  <c r="S16" i="3"/>
  <c r="AJ7" i="3"/>
  <c r="AD19" i="3"/>
  <c r="BI9" i="3"/>
  <c r="Y24" i="3"/>
  <c r="BK11" i="3"/>
  <c r="K29" i="3"/>
  <c r="AT98" i="3"/>
  <c r="AI77" i="3"/>
  <c r="U70" i="3"/>
  <c r="AF58" i="3"/>
  <c r="AO52" i="3"/>
  <c r="I62" i="3"/>
  <c r="G62" i="3"/>
  <c r="BI63" i="3"/>
  <c r="AI56" i="3"/>
  <c r="BB60" i="3"/>
  <c r="H70" i="3"/>
  <c r="AO68" i="3"/>
  <c r="G83" i="3"/>
  <c r="AX74" i="3"/>
  <c r="AU66" i="3"/>
  <c r="AN38" i="3"/>
  <c r="M22" i="3"/>
  <c r="H64" i="3"/>
  <c r="AD43" i="3"/>
  <c r="BG29" i="3"/>
  <c r="AZ18" i="3"/>
  <c r="AY52" i="3"/>
  <c r="AQ36" i="3"/>
  <c r="Z23" i="3"/>
  <c r="AK66" i="3"/>
  <c r="AG44" i="3"/>
  <c r="G31" i="3"/>
  <c r="AW64" i="3"/>
  <c r="AG59" i="3"/>
  <c r="AU64" i="3"/>
  <c r="AN48" i="3"/>
  <c r="AT52" i="3"/>
  <c r="BF62" i="3"/>
  <c r="AL48" i="3"/>
  <c r="AZ37" i="3"/>
  <c r="BG58" i="3"/>
  <c r="M48" i="3"/>
  <c r="BA38" i="3"/>
  <c r="BD62" i="3"/>
  <c r="X51" i="3"/>
  <c r="AW41" i="3"/>
  <c r="W57" i="3"/>
  <c r="BD47" i="3"/>
  <c r="BA56" i="3"/>
  <c r="AE47" i="3"/>
  <c r="AB37" i="3"/>
  <c r="AW70" i="3"/>
  <c r="K55" i="3"/>
  <c r="W44" i="3"/>
  <c r="BM60" i="3"/>
  <c r="S51" i="3"/>
  <c r="BF40" i="3"/>
  <c r="AN69" i="3"/>
  <c r="Q54" i="3"/>
  <c r="AJ43" i="3"/>
  <c r="BG66" i="3"/>
  <c r="X53" i="3"/>
  <c r="Z42" i="3"/>
  <c r="AB61" i="3"/>
  <c r="BE50" i="3"/>
  <c r="G40" i="3"/>
  <c r="K60" i="3"/>
  <c r="AO49" i="3"/>
  <c r="N36" i="3"/>
  <c r="AJ26" i="3"/>
  <c r="AN16" i="3"/>
  <c r="AM9" i="3"/>
  <c r="M45" i="3"/>
  <c r="N32" i="3"/>
  <c r="AT22" i="3"/>
  <c r="R15" i="3"/>
  <c r="W8" i="3"/>
  <c r="R40" i="3"/>
  <c r="BC29" i="3"/>
  <c r="BE20" i="3"/>
  <c r="AP13" i="3"/>
  <c r="AZ6" i="3"/>
  <c r="AW34" i="3"/>
  <c r="AG24" i="3"/>
  <c r="AK16" i="3"/>
  <c r="AJ9" i="3"/>
  <c r="M38" i="3"/>
  <c r="Y33" i="3"/>
  <c r="K35" i="3"/>
  <c r="AM47" i="3"/>
  <c r="AM28" i="3"/>
  <c r="J34" i="3"/>
  <c r="AB24" i="3"/>
  <c r="I16" i="3"/>
  <c r="K9" i="3"/>
  <c r="AF36" i="3"/>
  <c r="AU26" i="3"/>
  <c r="AR31" i="3"/>
  <c r="BA21" i="3"/>
  <c r="AS33" i="3"/>
  <c r="BM35" i="3"/>
  <c r="AV24" i="3"/>
  <c r="AY16" i="3"/>
  <c r="AL44" i="3"/>
  <c r="AO31" i="3"/>
  <c r="AK44" i="3"/>
  <c r="BM31" i="3"/>
  <c r="AD22" i="3"/>
  <c r="AA14" i="3"/>
  <c r="AH38" i="3"/>
  <c r="BC28" i="3"/>
  <c r="BC50" i="3"/>
  <c r="AV32" i="3"/>
  <c r="AJ23" i="3"/>
  <c r="AZ36" i="3"/>
  <c r="AC28" i="3"/>
  <c r="O19" i="3"/>
  <c r="AH33" i="3"/>
  <c r="BC15" i="3"/>
  <c r="K7" i="3"/>
  <c r="BG18" i="3"/>
  <c r="AF9" i="3"/>
  <c r="AG23" i="3"/>
  <c r="AI11" i="3"/>
  <c r="N24" i="3"/>
  <c r="BJ11" i="3"/>
  <c r="J29" i="3"/>
  <c r="I54" i="3"/>
  <c r="BB14" i="3"/>
  <c r="AP22" i="3"/>
  <c r="H17" i="3"/>
  <c r="AH22" i="3"/>
  <c r="G12" i="3"/>
  <c r="AK26" i="3"/>
  <c r="AO9" i="3"/>
  <c r="J9" i="3"/>
  <c r="AI29" i="3"/>
  <c r="Y5" i="3"/>
  <c r="L11" i="3"/>
  <c r="F43" i="3"/>
  <c r="F32" i="3"/>
  <c r="F111" i="3"/>
  <c r="F128" i="3"/>
  <c r="F102" i="3"/>
  <c r="AX9" i="3"/>
  <c r="BA12" i="3"/>
  <c r="BH12" i="3"/>
  <c r="BG14" i="3"/>
  <c r="AC10" i="3"/>
  <c r="L28" i="3"/>
  <c r="BL5" i="3"/>
  <c r="BI21" i="3"/>
  <c r="AJ16" i="3"/>
  <c r="AZ21" i="3"/>
  <c r="AX11" i="3"/>
  <c r="AL24" i="3"/>
  <c r="L9" i="3"/>
  <c r="AR5" i="3"/>
  <c r="R28" i="3"/>
  <c r="BC5" i="3"/>
  <c r="F125" i="3"/>
  <c r="F47" i="3"/>
  <c r="F76" i="3"/>
  <c r="F12" i="3"/>
  <c r="F78" i="3"/>
  <c r="H21" i="3"/>
  <c r="H5" i="3"/>
  <c r="AS24" i="3"/>
  <c r="Z9" i="3"/>
  <c r="AT14" i="3"/>
  <c r="M11" i="3"/>
  <c r="V9" i="3"/>
  <c r="F15" i="3"/>
  <c r="AK20" i="3"/>
  <c r="F107" i="3"/>
  <c r="F83" i="3"/>
  <c r="BB44" i="3"/>
  <c r="T17" i="3"/>
  <c r="J21" i="3"/>
  <c r="M12" i="3"/>
  <c r="AK14" i="3"/>
  <c r="AR7" i="3"/>
  <c r="AG17" i="3"/>
  <c r="AY8" i="3"/>
  <c r="AA28" i="3"/>
  <c r="T27" i="3"/>
  <c r="L15" i="3"/>
  <c r="AZ9" i="3"/>
  <c r="F49" i="3"/>
  <c r="F29" i="3"/>
  <c r="F94" i="3"/>
  <c r="AU13" i="3"/>
  <c r="AB10" i="3"/>
  <c r="F114" i="3"/>
  <c r="BE14" i="3"/>
  <c r="F24" i="3"/>
  <c r="AA20" i="3"/>
  <c r="N44" i="3"/>
  <c r="BC20" i="3"/>
  <c r="AW5" i="3"/>
  <c r="AR14" i="3"/>
  <c r="BG13" i="3"/>
  <c r="F127" i="3"/>
  <c r="AK24" i="3"/>
  <c r="AS50" i="3"/>
  <c r="AM11" i="3"/>
  <c r="P31" i="3"/>
  <c r="AH7" i="3"/>
  <c r="AS16" i="3"/>
  <c r="AL10" i="3"/>
  <c r="AZ11" i="3"/>
  <c r="G6" i="3"/>
  <c r="BM14" i="3"/>
  <c r="Z8" i="3"/>
  <c r="Z26" i="3"/>
  <c r="U26" i="3"/>
  <c r="W10" i="3"/>
  <c r="BB5" i="3"/>
  <c r="F123" i="3"/>
  <c r="F65" i="3"/>
  <c r="F124" i="3"/>
  <c r="F41" i="3"/>
  <c r="R19" i="3"/>
  <c r="F96" i="3"/>
  <c r="F69" i="3"/>
  <c r="I15" i="3"/>
  <c r="BM15" i="3"/>
  <c r="BE15" i="3"/>
  <c r="F82" i="3"/>
  <c r="BA19" i="3"/>
  <c r="G20" i="3"/>
  <c r="BE13" i="3"/>
  <c r="F71" i="3"/>
  <c r="AD7" i="3"/>
  <c r="AF5" i="3"/>
  <c r="AI21" i="3"/>
  <c r="BF11" i="3"/>
  <c r="H9" i="3"/>
  <c r="AO10" i="3"/>
  <c r="AE13" i="3"/>
  <c r="BB17" i="3"/>
  <c r="AS14" i="3"/>
  <c r="H8" i="3"/>
  <c r="U9" i="3"/>
  <c r="AR11" i="3"/>
  <c r="AN7" i="3"/>
  <c r="AW23" i="3"/>
  <c r="AD24" i="3"/>
  <c r="F122" i="3"/>
  <c r="F23" i="3"/>
  <c r="AT30" i="3"/>
  <c r="W15" i="3"/>
  <c r="F37" i="3"/>
  <c r="O10" i="3"/>
  <c r="AJ12" i="3"/>
  <c r="Z13" i="3"/>
  <c r="R22" i="3"/>
  <c r="F21" i="3"/>
  <c r="BF10" i="3"/>
  <c r="AD8" i="3"/>
  <c r="L7" i="3"/>
  <c r="P6" i="3"/>
  <c r="F90" i="3"/>
  <c r="BL37" i="3"/>
  <c r="T12" i="3"/>
  <c r="AD11" i="3"/>
  <c r="AZ7" i="3"/>
  <c r="BE8" i="3"/>
  <c r="T35" i="3"/>
  <c r="P11" i="3"/>
  <c r="BA29" i="3"/>
  <c r="BL22" i="3"/>
  <c r="X18" i="3"/>
  <c r="AK7" i="3"/>
  <c r="H16" i="3"/>
  <c r="F117" i="3"/>
  <c r="AO28" i="3"/>
  <c r="BM22" i="3"/>
  <c r="F73" i="3"/>
  <c r="P13" i="3"/>
  <c r="F79" i="3"/>
  <c r="Z22" i="3"/>
  <c r="AW6" i="3"/>
  <c r="F44" i="3"/>
  <c r="BM18" i="3"/>
  <c r="F8" i="3"/>
  <c r="T11" i="3"/>
  <c r="AC12" i="3"/>
  <c r="BH20" i="3"/>
  <c r="Q6" i="3"/>
  <c r="AS7" i="3"/>
  <c r="G5" i="3"/>
  <c r="F56" i="3"/>
  <c r="AF28" i="3"/>
  <c r="BF7" i="3"/>
  <c r="R42" i="3"/>
  <c r="W7" i="3"/>
  <c r="AE8" i="3"/>
  <c r="AI31" i="3"/>
  <c r="BE10" i="3"/>
  <c r="AF24" i="3"/>
  <c r="O22" i="3"/>
  <c r="T16" i="3"/>
  <c r="R6" i="3"/>
  <c r="F77" i="3"/>
  <c r="AG21" i="3"/>
  <c r="BA24" i="3"/>
  <c r="AK27" i="3"/>
  <c r="BM8" i="3"/>
  <c r="F45" i="3"/>
  <c r="R11" i="3"/>
  <c r="T50" i="3"/>
  <c r="F36" i="3"/>
  <c r="BC65" i="3"/>
  <c r="BD18" i="3"/>
  <c r="AS18" i="3"/>
  <c r="BI27" i="3"/>
  <c r="BB35" i="3"/>
  <c r="AR19" i="3"/>
  <c r="AP9" i="3"/>
  <c r="AH21" i="3"/>
  <c r="BB20" i="3"/>
  <c r="BM6" i="3"/>
  <c r="Y14" i="3"/>
  <c r="F95" i="3"/>
  <c r="F30" i="3"/>
  <c r="BA11" i="3"/>
  <c r="X10" i="3"/>
  <c r="AE11" i="3"/>
  <c r="AD34" i="3"/>
  <c r="F48" i="3"/>
  <c r="F89" i="3"/>
  <c r="BI12" i="3"/>
  <c r="BH8" i="3"/>
  <c r="F106" i="3"/>
  <c r="BJ12" i="3"/>
  <c r="F93" i="3"/>
  <c r="BF8" i="3"/>
  <c r="F33" i="3"/>
  <c r="F87" i="3"/>
  <c r="BE39" i="3"/>
  <c r="AM8" i="3"/>
  <c r="J14" i="3"/>
  <c r="N19" i="3"/>
  <c r="AX21" i="3"/>
  <c r="AS11" i="3"/>
  <c r="AM19" i="3"/>
  <c r="F6" i="3"/>
  <c r="F86" i="3"/>
  <c r="H20" i="3"/>
  <c r="AO29" i="3"/>
  <c r="AR6" i="3"/>
  <c r="AM10" i="3"/>
  <c r="AM13" i="3"/>
  <c r="AJ13" i="3"/>
  <c r="AN11" i="3"/>
  <c r="AN6" i="3"/>
  <c r="AD6" i="3"/>
  <c r="F60" i="3"/>
  <c r="BG23" i="3"/>
  <c r="G33" i="3"/>
  <c r="AX10" i="3"/>
  <c r="AP11" i="3"/>
  <c r="AD40" i="3"/>
  <c r="Q18" i="3"/>
  <c r="BA5" i="3"/>
  <c r="AF8" i="3"/>
  <c r="AS35" i="3"/>
  <c r="AN19" i="3"/>
  <c r="BC10" i="3"/>
  <c r="BL9" i="3"/>
  <c r="AR15" i="3"/>
  <c r="AI8" i="3"/>
  <c r="AE7" i="3"/>
  <c r="F121" i="3"/>
  <c r="F72" i="3"/>
  <c r="F35" i="3"/>
  <c r="AO23" i="3"/>
  <c r="AU14" i="3"/>
  <c r="BI26" i="3"/>
  <c r="AA5" i="3"/>
  <c r="Y22" i="3"/>
  <c r="BK29" i="3"/>
  <c r="AD14" i="3"/>
  <c r="Y10" i="3"/>
  <c r="AX6" i="3"/>
  <c r="F68" i="3"/>
  <c r="BM11" i="3"/>
  <c r="O14" i="3"/>
  <c r="BG21" i="3"/>
  <c r="BB33" i="3"/>
  <c r="AL18" i="3"/>
  <c r="AN28" i="3"/>
  <c r="AQ11" i="3"/>
  <c r="BM9" i="3"/>
  <c r="BD7" i="3"/>
  <c r="S8" i="3"/>
  <c r="P10" i="3"/>
  <c r="F108" i="3"/>
  <c r="BE34" i="3"/>
  <c r="O36" i="3"/>
  <c r="AQ17" i="3"/>
  <c r="I23" i="3"/>
  <c r="AL12" i="3"/>
  <c r="AL27" i="3"/>
  <c r="BD10" i="3"/>
  <c r="AN9" i="3"/>
  <c r="P37" i="3"/>
  <c r="AJ6" i="3"/>
  <c r="F20" i="3"/>
  <c r="F97" i="3"/>
  <c r="F129" i="3"/>
  <c r="F39" i="3"/>
  <c r="F39" i="2" l="1"/>
  <c r="F129" i="2"/>
  <c r="F97" i="2"/>
  <c r="F20" i="2"/>
  <c r="AJ6" i="2"/>
  <c r="P37" i="2"/>
  <c r="AN9" i="2"/>
  <c r="BD10" i="2"/>
  <c r="AL27" i="2"/>
  <c r="AL12" i="2"/>
  <c r="I23" i="2"/>
  <c r="AQ17" i="2"/>
  <c r="O36" i="2"/>
  <c r="BE34" i="2"/>
  <c r="F108" i="2"/>
  <c r="P10" i="2"/>
  <c r="S8" i="2"/>
  <c r="BD7" i="2"/>
  <c r="BM9" i="2"/>
  <c r="AQ11" i="2"/>
  <c r="AN28" i="2"/>
  <c r="AL18" i="2"/>
  <c r="BB33" i="2"/>
  <c r="BG21" i="2"/>
  <c r="O14" i="2"/>
  <c r="BM11" i="2"/>
  <c r="F67" i="3"/>
  <c r="F67" i="2" s="1"/>
  <c r="F68" i="2"/>
  <c r="AX6" i="2"/>
  <c r="Y10" i="2"/>
  <c r="AD14" i="2"/>
  <c r="BK29" i="2"/>
  <c r="Y22" i="2"/>
  <c r="AA4" i="3"/>
  <c r="AA4" i="2" s="1"/>
  <c r="AA5" i="2"/>
  <c r="BI25" i="3"/>
  <c r="BI25" i="2" s="1"/>
  <c r="BI26" i="2"/>
  <c r="AU14" i="2"/>
  <c r="AO23" i="2"/>
  <c r="F35" i="2"/>
  <c r="F72" i="2"/>
  <c r="F121" i="2"/>
  <c r="AE7" i="2"/>
  <c r="AI8" i="2"/>
  <c r="AR15" i="2"/>
  <c r="BL9" i="2"/>
  <c r="BC10" i="2"/>
  <c r="AN19" i="2"/>
  <c r="AS35" i="2"/>
  <c r="AF8" i="2"/>
  <c r="BA4" i="3"/>
  <c r="BA4" i="2" s="1"/>
  <c r="BA5" i="2"/>
  <c r="Q18" i="2"/>
  <c r="AD40" i="2"/>
  <c r="AP11" i="2"/>
  <c r="AX10" i="2"/>
  <c r="G33" i="2"/>
  <c r="BG23" i="2"/>
  <c r="F60" i="2"/>
  <c r="AD6" i="2"/>
  <c r="AN6" i="2"/>
  <c r="AN11" i="2"/>
  <c r="AJ13" i="2"/>
  <c r="AM13" i="2"/>
  <c r="AM10" i="2"/>
  <c r="AR6" i="2"/>
  <c r="AO29" i="2"/>
  <c r="H20" i="2"/>
  <c r="F86" i="2"/>
  <c r="F6" i="2"/>
  <c r="AM19" i="2"/>
  <c r="AS11" i="2"/>
  <c r="AX21" i="2"/>
  <c r="N19" i="2"/>
  <c r="J14" i="2"/>
  <c r="AM8" i="2"/>
  <c r="BE39" i="2"/>
  <c r="F87" i="2"/>
  <c r="F33" i="2"/>
  <c r="BF8" i="2"/>
  <c r="F93" i="2"/>
  <c r="BJ12" i="2"/>
  <c r="F106" i="2"/>
  <c r="BH8" i="2"/>
  <c r="BI12" i="2"/>
  <c r="F88" i="3"/>
  <c r="F88" i="2" s="1"/>
  <c r="F89" i="2"/>
  <c r="F48" i="2"/>
  <c r="AD34" i="2"/>
  <c r="AE11" i="2"/>
  <c r="X10" i="2"/>
  <c r="BA11" i="2"/>
  <c r="F30" i="2"/>
  <c r="F95" i="2"/>
  <c r="Y14" i="2"/>
  <c r="BM6" i="2"/>
  <c r="BB20" i="2"/>
  <c r="AH21" i="2"/>
  <c r="AP9" i="2"/>
  <c r="AR19" i="2"/>
  <c r="BB35" i="2"/>
  <c r="BI27" i="2"/>
  <c r="AS18" i="2"/>
  <c r="BD18" i="2"/>
  <c r="BC65" i="2"/>
  <c r="F36" i="2"/>
  <c r="T50" i="2"/>
  <c r="R11" i="2"/>
  <c r="F45" i="2"/>
  <c r="BM8" i="2"/>
  <c r="AK27" i="2"/>
  <c r="BA24" i="2"/>
  <c r="AG21" i="2"/>
  <c r="F77" i="2"/>
  <c r="R6" i="2"/>
  <c r="T16" i="2"/>
  <c r="O22" i="2"/>
  <c r="AF24" i="2"/>
  <c r="BE10" i="2"/>
  <c r="AI31" i="2"/>
  <c r="AE8" i="2"/>
  <c r="W7" i="2"/>
  <c r="R42" i="2"/>
  <c r="BF7" i="2"/>
  <c r="AF28" i="2"/>
  <c r="F56" i="2"/>
  <c r="G4" i="3"/>
  <c r="G4" i="2" s="1"/>
  <c r="G5" i="2"/>
  <c r="AS7" i="2"/>
  <c r="Q6" i="2"/>
  <c r="BH20" i="2"/>
  <c r="AC12" i="2"/>
  <c r="T11" i="2"/>
  <c r="F8" i="2"/>
  <c r="BM18" i="2"/>
  <c r="F44" i="2"/>
  <c r="AW6" i="2"/>
  <c r="Z22" i="2"/>
  <c r="F79" i="2"/>
  <c r="P13" i="2"/>
  <c r="F73" i="2"/>
  <c r="BM22" i="2"/>
  <c r="AO28" i="2"/>
  <c r="F117" i="2"/>
  <c r="H16" i="2"/>
  <c r="AK7" i="2"/>
  <c r="X18" i="2"/>
  <c r="BL22" i="2"/>
  <c r="BA29" i="2"/>
  <c r="P11" i="2"/>
  <c r="T35" i="2"/>
  <c r="BE8" i="2"/>
  <c r="AZ7" i="2"/>
  <c r="AD11" i="2"/>
  <c r="T12" i="2"/>
  <c r="BL37" i="2"/>
  <c r="F90" i="2"/>
  <c r="P6" i="2"/>
  <c r="L7" i="2"/>
  <c r="AD8" i="2"/>
  <c r="BF10" i="2"/>
  <c r="F21" i="2"/>
  <c r="R22" i="2"/>
  <c r="Z13" i="2"/>
  <c r="AJ12" i="2"/>
  <c r="O10" i="2"/>
  <c r="F37" i="2"/>
  <c r="W15" i="2"/>
  <c r="AT30" i="2"/>
  <c r="F23" i="2"/>
  <c r="F122" i="2"/>
  <c r="AD24" i="2"/>
  <c r="AW23" i="2"/>
  <c r="AN7" i="2"/>
  <c r="AR11" i="2"/>
  <c r="U9" i="2"/>
  <c r="H8" i="2"/>
  <c r="AS14" i="2"/>
  <c r="BB17" i="2"/>
  <c r="AE13" i="2"/>
  <c r="AO10" i="2"/>
  <c r="H9" i="2"/>
  <c r="BF11" i="2"/>
  <c r="AI21" i="2"/>
  <c r="AF4" i="3"/>
  <c r="AF4" i="2" s="1"/>
  <c r="AF5" i="2"/>
  <c r="AD7" i="2"/>
  <c r="F71" i="2"/>
  <c r="BE13" i="2"/>
  <c r="G20" i="2"/>
  <c r="BA19" i="2"/>
  <c r="F82" i="2"/>
  <c r="BE15" i="2"/>
  <c r="BM15" i="2"/>
  <c r="I15" i="2"/>
  <c r="F69" i="2"/>
  <c r="F96" i="2"/>
  <c r="R19" i="2"/>
  <c r="F41" i="2"/>
  <c r="F124" i="2"/>
  <c r="F65" i="2"/>
  <c r="F123" i="2"/>
  <c r="BB4" i="3"/>
  <c r="BB4" i="2" s="1"/>
  <c r="BB5" i="2"/>
  <c r="W10" i="2"/>
  <c r="U25" i="3"/>
  <c r="U25" i="2" s="1"/>
  <c r="U26" i="2"/>
  <c r="Z25" i="3"/>
  <c r="Z25" i="2" s="1"/>
  <c r="Z26" i="2"/>
  <c r="Z8" i="2"/>
  <c r="BM14" i="2"/>
  <c r="G6" i="2"/>
  <c r="AZ11" i="2"/>
  <c r="AL10" i="2"/>
  <c r="AS16" i="2"/>
  <c r="AH7" i="2"/>
  <c r="P31" i="2"/>
  <c r="AM11" i="2"/>
  <c r="AS50" i="2"/>
  <c r="AK24" i="2"/>
  <c r="F127" i="2"/>
  <c r="BG13" i="2"/>
  <c r="AR14" i="2"/>
  <c r="AW4" i="3"/>
  <c r="AW4" i="2" s="1"/>
  <c r="AW5" i="2"/>
  <c r="BC20" i="2"/>
  <c r="N44" i="2"/>
  <c r="AA20" i="2"/>
  <c r="F24" i="2"/>
  <c r="BE14" i="2"/>
  <c r="F114" i="2"/>
  <c r="AB10" i="2"/>
  <c r="AU13" i="2"/>
  <c r="F94" i="2"/>
  <c r="F29" i="2"/>
  <c r="F49" i="2"/>
  <c r="AZ9" i="2"/>
  <c r="L15" i="2"/>
  <c r="T27" i="2"/>
  <c r="AA28" i="2"/>
  <c r="AY8" i="2"/>
  <c r="AG17" i="2"/>
  <c r="AR7" i="2"/>
  <c r="AK14" i="2"/>
  <c r="M12" i="2"/>
  <c r="J21" i="2"/>
  <c r="T17" i="2"/>
  <c r="BB44" i="2"/>
  <c r="F83" i="2"/>
  <c r="F107" i="2"/>
  <c r="AK20" i="2"/>
  <c r="F15" i="2"/>
  <c r="V9" i="2"/>
  <c r="M11" i="2"/>
  <c r="AT14" i="2"/>
  <c r="Z9" i="2"/>
  <c r="AS24" i="2"/>
  <c r="H4" i="3"/>
  <c r="H4" i="2" s="1"/>
  <c r="H5" i="2"/>
  <c r="H21" i="2"/>
  <c r="F78" i="2"/>
  <c r="F12" i="2"/>
  <c r="F76" i="2"/>
  <c r="F46" i="3"/>
  <c r="F47" i="2"/>
  <c r="F125" i="2"/>
  <c r="BC4" i="3"/>
  <c r="BC4" i="2" s="1"/>
  <c r="BC5" i="2"/>
  <c r="R28" i="2"/>
  <c r="AR4" i="3"/>
  <c r="AR4" i="2" s="1"/>
  <c r="AR5" i="2"/>
  <c r="L9" i="2"/>
  <c r="AL24" i="2"/>
  <c r="AX11" i="2"/>
  <c r="AZ21" i="2"/>
  <c r="AJ16" i="2"/>
  <c r="BI21" i="2"/>
  <c r="BL4" i="3"/>
  <c r="BL4" i="2" s="1"/>
  <c r="BL5" i="2"/>
  <c r="L28" i="2"/>
  <c r="AC10" i="2"/>
  <c r="BG14" i="2"/>
  <c r="BH12" i="2"/>
  <c r="BA12" i="2"/>
  <c r="AX9" i="2"/>
  <c r="F102" i="2"/>
  <c r="F128" i="2"/>
  <c r="F111" i="2"/>
  <c r="F32" i="2"/>
  <c r="F43" i="2"/>
  <c r="L11" i="2"/>
  <c r="Y4" i="3"/>
  <c r="Y4" i="2" s="1"/>
  <c r="Y5" i="2"/>
  <c r="AI29" i="2"/>
  <c r="J9" i="2"/>
  <c r="AO9" i="2"/>
  <c r="AK25" i="3"/>
  <c r="AK25" i="2" s="1"/>
  <c r="AK26" i="2"/>
  <c r="G12" i="2"/>
  <c r="AH22" i="2"/>
  <c r="H17" i="2"/>
  <c r="AP22" i="2"/>
  <c r="BB14" i="2"/>
  <c r="I54" i="2"/>
  <c r="J29" i="2"/>
  <c r="BJ11" i="2"/>
  <c r="N24" i="2"/>
  <c r="AI11" i="2"/>
  <c r="AG23" i="2"/>
  <c r="AF9" i="2"/>
  <c r="BG18" i="2"/>
  <c r="K7" i="2"/>
  <c r="BC15" i="2"/>
  <c r="AH33" i="2"/>
  <c r="O19" i="2"/>
  <c r="AC28" i="2"/>
  <c r="AZ36" i="2"/>
  <c r="AJ23" i="2"/>
  <c r="AV32" i="2"/>
  <c r="BC50" i="2"/>
  <c r="BC28" i="2"/>
  <c r="AH38" i="2"/>
  <c r="AA14" i="2"/>
  <c r="AD22" i="2"/>
  <c r="BM31" i="2"/>
  <c r="AK44" i="2"/>
  <c r="AO31" i="2"/>
  <c r="AL44" i="2"/>
  <c r="AY16" i="2"/>
  <c r="AV24" i="2"/>
  <c r="BM35" i="2"/>
  <c r="AS33" i="2"/>
  <c r="BA21" i="2"/>
  <c r="AR31" i="2"/>
  <c r="AU25" i="3"/>
  <c r="AU25" i="2" s="1"/>
  <c r="AU26" i="2"/>
  <c r="AF36" i="2"/>
  <c r="K9" i="2"/>
  <c r="I16" i="2"/>
  <c r="AB24" i="2"/>
  <c r="J34" i="2"/>
  <c r="AM28" i="2"/>
  <c r="AM46" i="3"/>
  <c r="AM47" i="2"/>
  <c r="K35" i="2"/>
  <c r="Y33" i="2"/>
  <c r="M38" i="2"/>
  <c r="AJ9" i="2"/>
  <c r="AK16" i="2"/>
  <c r="AG24" i="2"/>
  <c r="AW34" i="2"/>
  <c r="AZ6" i="2"/>
  <c r="AP13" i="2"/>
  <c r="BE20" i="2"/>
  <c r="BC29" i="2"/>
  <c r="R40" i="2"/>
  <c r="W8" i="2"/>
  <c r="R15" i="2"/>
  <c r="AT22" i="2"/>
  <c r="N32" i="2"/>
  <c r="M45" i="2"/>
  <c r="AM9" i="2"/>
  <c r="AN16" i="2"/>
  <c r="AJ25" i="3"/>
  <c r="AJ25" i="2" s="1"/>
  <c r="AJ26" i="2"/>
  <c r="N36" i="2"/>
  <c r="AO49" i="2"/>
  <c r="K60" i="2"/>
  <c r="G40" i="2"/>
  <c r="BE50" i="2"/>
  <c r="AB61" i="2"/>
  <c r="Z42" i="2"/>
  <c r="X53" i="2"/>
  <c r="BG66" i="2"/>
  <c r="AJ43" i="2"/>
  <c r="Q54" i="2"/>
  <c r="AN69" i="2"/>
  <c r="BF40" i="2"/>
  <c r="S51" i="2"/>
  <c r="BM60" i="2"/>
  <c r="W44" i="2"/>
  <c r="K55" i="2"/>
  <c r="AW70" i="2"/>
  <c r="AB37" i="2"/>
  <c r="AE46" i="3"/>
  <c r="AE47" i="2"/>
  <c r="BA56" i="2"/>
  <c r="BD46" i="3"/>
  <c r="BD47" i="2"/>
  <c r="W57" i="2"/>
  <c r="AW41" i="2"/>
  <c r="X51" i="2"/>
  <c r="BD62" i="2"/>
  <c r="BA38" i="2"/>
  <c r="M48" i="2"/>
  <c r="BG58" i="2"/>
  <c r="AZ37" i="2"/>
  <c r="AL48" i="2"/>
  <c r="BF62" i="2"/>
  <c r="AT52" i="2"/>
  <c r="AN48" i="2"/>
  <c r="AU64" i="2"/>
  <c r="AG59" i="2"/>
  <c r="AW64" i="2"/>
  <c r="G31" i="2"/>
  <c r="AG44" i="2"/>
  <c r="AK66" i="2"/>
  <c r="Z23" i="2"/>
  <c r="AQ36" i="2"/>
  <c r="AY52" i="2"/>
  <c r="AZ18" i="2"/>
  <c r="BG29" i="2"/>
  <c r="AD43" i="2"/>
  <c r="H64" i="2"/>
  <c r="M22" i="2"/>
  <c r="AN38" i="2"/>
  <c r="AU66" i="2"/>
  <c r="AX74" i="2"/>
  <c r="G83" i="2"/>
  <c r="AO67" i="3"/>
  <c r="AO67" i="2" s="1"/>
  <c r="AO68" i="2"/>
  <c r="H70" i="2"/>
  <c r="BB60" i="2"/>
  <c r="AI56" i="2"/>
  <c r="BI63" i="2"/>
  <c r="G62" i="2"/>
  <c r="I62" i="2"/>
  <c r="AO52" i="2"/>
  <c r="AF58" i="2"/>
  <c r="U70" i="2"/>
  <c r="AI77" i="2"/>
  <c r="AT98" i="2"/>
  <c r="K29" i="2"/>
  <c r="BK11" i="2"/>
  <c r="Y24" i="2"/>
  <c r="BI9" i="2"/>
  <c r="AD19" i="2"/>
  <c r="AJ7" i="2"/>
  <c r="S16" i="2"/>
  <c r="BL33" i="2"/>
  <c r="AL19" i="2"/>
  <c r="BA28" i="2"/>
  <c r="V37" i="2"/>
  <c r="BH23" i="2"/>
  <c r="I33" i="2"/>
  <c r="U53" i="2"/>
  <c r="N29" i="2"/>
  <c r="H39" i="2"/>
  <c r="AV14" i="2"/>
  <c r="BD22" i="2"/>
  <c r="U32" i="2"/>
  <c r="AQ45" i="2"/>
  <c r="Z32" i="2"/>
  <c r="AV45" i="2"/>
  <c r="I17" i="2"/>
  <c r="T25" i="3"/>
  <c r="T25" i="2" s="1"/>
  <c r="T26" i="2"/>
  <c r="AB36" i="2"/>
  <c r="AL34" i="2"/>
  <c r="N22" i="2"/>
  <c r="AC32" i="2"/>
  <c r="AH27" i="2"/>
  <c r="AI37" i="2"/>
  <c r="AE9" i="2"/>
  <c r="AF16" i="2"/>
  <c r="AZ24" i="2"/>
  <c r="AP34" i="2"/>
  <c r="Z29" i="2"/>
  <c r="AN49" i="2"/>
  <c r="AQ35" i="2"/>
  <c r="BA33" i="2"/>
  <c r="BE38" i="2"/>
  <c r="BD9" i="2"/>
  <c r="BH16" i="2"/>
  <c r="BE24" i="2"/>
  <c r="N35" i="2"/>
  <c r="G7" i="2"/>
  <c r="BK13" i="2"/>
  <c r="O21" i="2"/>
  <c r="R30" i="2"/>
  <c r="G41" i="2"/>
  <c r="AQ8" i="2"/>
  <c r="AM15" i="2"/>
  <c r="AE23" i="2"/>
  <c r="AM32" i="2"/>
  <c r="BE55" i="2"/>
  <c r="BG9" i="2"/>
  <c r="X17" i="2"/>
  <c r="BH25" i="3"/>
  <c r="BH25" i="2" s="1"/>
  <c r="BH26" i="2"/>
  <c r="AV36" i="2"/>
  <c r="Z50" i="2"/>
  <c r="AY60" i="2"/>
  <c r="AE40" i="2"/>
  <c r="P51" i="2"/>
  <c r="AM62" i="2"/>
  <c r="BB42" i="2"/>
  <c r="AY53" i="2"/>
  <c r="AQ67" i="3"/>
  <c r="AQ67" i="2" s="1"/>
  <c r="AQ68" i="2"/>
  <c r="BH43" i="2"/>
  <c r="AQ54" i="2"/>
  <c r="AN70" i="2"/>
  <c r="U41" i="2"/>
  <c r="AX51" i="2"/>
  <c r="AN61" i="2"/>
  <c r="AU44" i="2"/>
  <c r="AK55" i="2"/>
  <c r="BK30" i="2"/>
  <c r="AV37" i="2"/>
  <c r="BC46" i="3"/>
  <c r="BC47" i="2"/>
  <c r="V57" i="2"/>
  <c r="K48" i="2"/>
  <c r="BC57" i="2"/>
  <c r="H42" i="2"/>
  <c r="BB51" i="2"/>
  <c r="W63" i="2"/>
  <c r="J39" i="2"/>
  <c r="AK48" i="2"/>
  <c r="Y59" i="2"/>
  <c r="H38" i="2"/>
  <c r="Z49" i="2"/>
  <c r="AD63" i="2"/>
  <c r="G53" i="2"/>
  <c r="AB49" i="2"/>
  <c r="BD83" i="2"/>
  <c r="AN60" i="2"/>
  <c r="AN65" i="2"/>
  <c r="AU31" i="2"/>
  <c r="BE44" i="2"/>
  <c r="S67" i="3"/>
  <c r="S67" i="2" s="1"/>
  <c r="S68" i="2"/>
  <c r="U24" i="2"/>
  <c r="BK36" i="2"/>
  <c r="N53" i="2"/>
  <c r="G19" i="2"/>
  <c r="AW31" i="2"/>
  <c r="BB43" i="2"/>
  <c r="BI64" i="2"/>
  <c r="AG22" i="2"/>
  <c r="K41" i="2"/>
  <c r="AH67" i="3"/>
  <c r="AH67" i="2" s="1"/>
  <c r="AH68" i="2"/>
  <c r="P75" i="2"/>
  <c r="AN86" i="2"/>
  <c r="X69" i="2"/>
  <c r="AZ72" i="2"/>
  <c r="X62" i="2"/>
  <c r="AS58" i="2"/>
  <c r="BF65" i="2"/>
  <c r="R64" i="2"/>
  <c r="T64" i="2"/>
  <c r="U56" i="2"/>
  <c r="AP60" i="2"/>
  <c r="Q72" i="2"/>
  <c r="S86" i="2"/>
  <c r="I104" i="2"/>
  <c r="BD11" i="2"/>
  <c r="AO22" i="2"/>
  <c r="M15" i="2"/>
  <c r="AW13" i="2"/>
  <c r="P32" i="2"/>
  <c r="BC12" i="2"/>
  <c r="BM30" i="2"/>
  <c r="Z12" i="2"/>
  <c r="M27" i="2"/>
  <c r="U10" i="2"/>
  <c r="AX20" i="2"/>
  <c r="BJ7" i="2"/>
  <c r="BB16" i="2"/>
  <c r="Z34" i="2"/>
  <c r="BI19" i="2"/>
  <c r="L29" i="2"/>
  <c r="BE37" i="2"/>
  <c r="P24" i="2"/>
  <c r="AJ33" i="2"/>
  <c r="R20" i="2"/>
  <c r="AP29" i="2"/>
  <c r="BH39" i="2"/>
  <c r="Y15" i="2"/>
  <c r="N23" i="2"/>
  <c r="AX32" i="2"/>
  <c r="AT56" i="2"/>
  <c r="AY32" i="2"/>
  <c r="AS59" i="2"/>
  <c r="AF17" i="2"/>
  <c r="AR25" i="3"/>
  <c r="AR25" i="2" s="1"/>
  <c r="AR26" i="2"/>
  <c r="BH36" i="2"/>
  <c r="AH35" i="2"/>
  <c r="AK22" i="2"/>
  <c r="BC32" i="2"/>
  <c r="BF27" i="2"/>
  <c r="AU38" i="2"/>
  <c r="AY9" i="2"/>
  <c r="BC16" i="2"/>
  <c r="X25" i="3"/>
  <c r="X25" i="2" s="1"/>
  <c r="X26" i="2"/>
  <c r="AM35" i="2"/>
  <c r="AX29" i="2"/>
  <c r="AQ57" i="2"/>
  <c r="AL36" i="2"/>
  <c r="Q34" i="2"/>
  <c r="AJ39" i="2"/>
  <c r="K10" i="2"/>
  <c r="U17" i="2"/>
  <c r="AC25" i="3"/>
  <c r="AC25" i="2" s="1"/>
  <c r="AC26" i="2"/>
  <c r="AT35" i="2"/>
  <c r="AA7" i="2"/>
  <c r="S14" i="2"/>
  <c r="AO21" i="2"/>
  <c r="AP30" i="2"/>
  <c r="G42" i="2"/>
  <c r="BK8" i="2"/>
  <c r="BI15" i="2"/>
  <c r="BC23" i="2"/>
  <c r="AD33" i="2"/>
  <c r="K64" i="2"/>
  <c r="N10" i="2"/>
  <c r="AU17" i="2"/>
  <c r="S27" i="2"/>
  <c r="O37" i="2"/>
  <c r="BD50" i="2"/>
  <c r="Z61" i="2"/>
  <c r="BC40" i="2"/>
  <c r="AQ51" i="2"/>
  <c r="K63" i="2"/>
  <c r="K43" i="2"/>
  <c r="P54" i="2"/>
  <c r="AI69" i="2"/>
  <c r="Q44" i="2"/>
  <c r="AI55" i="2"/>
  <c r="AW71" i="2"/>
  <c r="AS41" i="2"/>
  <c r="G52" i="2"/>
  <c r="AQ62" i="2"/>
  <c r="AD45" i="2"/>
  <c r="Z56" i="2"/>
  <c r="R31" i="2"/>
  <c r="Z38" i="2"/>
  <c r="J48" i="2"/>
  <c r="BA57" i="2"/>
  <c r="AI48" i="2"/>
  <c r="T58" i="2"/>
  <c r="AJ42" i="2"/>
  <c r="K52" i="2"/>
  <c r="BK63" i="2"/>
  <c r="AH39" i="2"/>
  <c r="BM48" i="2"/>
  <c r="BM59" i="2"/>
  <c r="AF38" i="2"/>
  <c r="AY49" i="2"/>
  <c r="AN64" i="2"/>
  <c r="AI53" i="2"/>
  <c r="BB49" i="2"/>
  <c r="N46" i="3"/>
  <c r="N47" i="2"/>
  <c r="O61" i="2"/>
  <c r="AF66" i="2"/>
  <c r="V32" i="2"/>
  <c r="T45" i="2"/>
  <c r="K69" i="2"/>
  <c r="AO24" i="2"/>
  <c r="R37" i="2"/>
  <c r="AR53" i="2"/>
  <c r="AA19" i="2"/>
  <c r="S33" i="2"/>
  <c r="AI44" i="2"/>
  <c r="AW65" i="2"/>
  <c r="BA22" i="2"/>
  <c r="AT42" i="2"/>
  <c r="R69" i="2"/>
  <c r="J76" i="2"/>
  <c r="BM87" i="2"/>
  <c r="AW69" i="2"/>
  <c r="W75" i="2"/>
  <c r="AR62" i="2"/>
  <c r="AI60" i="2"/>
  <c r="AE69" i="2"/>
  <c r="N66" i="2"/>
  <c r="P66" i="2"/>
  <c r="AJ57" i="2"/>
  <c r="AU63" i="2"/>
  <c r="AP74" i="2"/>
  <c r="G100" i="2"/>
  <c r="AV81" i="2"/>
  <c r="X41" i="2"/>
  <c r="AH13" i="2"/>
  <c r="BC8" i="2"/>
  <c r="AX25" i="3"/>
  <c r="AX25" i="2" s="1"/>
  <c r="AX26" i="2"/>
  <c r="AT9" i="2"/>
  <c r="BB24" i="2"/>
  <c r="AU9" i="2"/>
  <c r="BB21" i="2"/>
  <c r="AG8" i="2"/>
  <c r="H18" i="2"/>
  <c r="BL6" i="2"/>
  <c r="AP15" i="2"/>
  <c r="O12" i="2"/>
  <c r="S23" i="2"/>
  <c r="AS15" i="2"/>
  <c r="P14" i="2"/>
  <c r="R34" i="2"/>
  <c r="Q13" i="2"/>
  <c r="Q32" i="2"/>
  <c r="BD12" i="2"/>
  <c r="K28" i="2"/>
  <c r="AU10" i="2"/>
  <c r="AA21" i="2"/>
  <c r="R8" i="2"/>
  <c r="Z17" i="2"/>
  <c r="BF34" i="2"/>
  <c r="P20" i="2"/>
  <c r="AJ29" i="2"/>
  <c r="AB38" i="2"/>
  <c r="AR24" i="2"/>
  <c r="AC34" i="2"/>
  <c r="AR20" i="2"/>
  <c r="Y30" i="2"/>
  <c r="AS40" i="2"/>
  <c r="AT15" i="2"/>
  <c r="AL23" i="2"/>
  <c r="K33" i="2"/>
  <c r="J59" i="2"/>
  <c r="M33" i="2"/>
  <c r="AK62" i="2"/>
  <c r="BC17" i="2"/>
  <c r="AE27" i="2"/>
  <c r="AD37" i="2"/>
  <c r="AC36" i="2"/>
  <c r="BH22" i="2"/>
  <c r="P33" i="2"/>
  <c r="M28" i="2"/>
  <c r="T39" i="2"/>
  <c r="Z10" i="2"/>
  <c r="M17" i="2"/>
  <c r="AV25" i="3"/>
  <c r="AV25" i="2" s="1"/>
  <c r="AV26" i="2"/>
  <c r="AH36" i="2"/>
  <c r="I30" i="2"/>
  <c r="J60" i="2"/>
  <c r="AP37" i="2"/>
  <c r="AT34" i="2"/>
  <c r="N40" i="2"/>
  <c r="AE10" i="2"/>
  <c r="AR17" i="2"/>
  <c r="BE25" i="3"/>
  <c r="BE25" i="2" s="1"/>
  <c r="BE26" i="2"/>
  <c r="I36" i="2"/>
  <c r="AU7" i="2"/>
  <c r="AN14" i="2"/>
  <c r="BL21" i="2"/>
  <c r="AE31" i="2"/>
  <c r="H43" i="2"/>
  <c r="R9" i="2"/>
  <c r="P16" i="2"/>
  <c r="K24" i="2"/>
  <c r="BI33" i="2"/>
  <c r="AA71" i="2"/>
  <c r="AH10" i="2"/>
  <c r="AB18" i="2"/>
  <c r="AQ27" i="2"/>
  <c r="BA37" i="2"/>
  <c r="O51" i="2"/>
  <c r="AL62" i="2"/>
  <c r="R41" i="2"/>
  <c r="AD52" i="2"/>
  <c r="AY63" i="2"/>
  <c r="AI43" i="2"/>
  <c r="AP54" i="2"/>
  <c r="AG70" i="2"/>
  <c r="AS44" i="2"/>
  <c r="BK55" i="2"/>
  <c r="AQ75" i="2"/>
  <c r="AB42" i="2"/>
  <c r="AG52" i="2"/>
  <c r="N63" i="2"/>
  <c r="AD46" i="3"/>
  <c r="AD47" i="2"/>
  <c r="AZ56" i="2"/>
  <c r="AL31" i="2"/>
  <c r="AV38" i="2"/>
  <c r="AH48" i="2"/>
  <c r="S58" i="2"/>
  <c r="BG48" i="2"/>
  <c r="BE58" i="2"/>
  <c r="BH42" i="2"/>
  <c r="AM52" i="2"/>
  <c r="AF64" i="2"/>
  <c r="BF39" i="2"/>
  <c r="Y49" i="2"/>
  <c r="Q62" i="2"/>
  <c r="BB38" i="2"/>
  <c r="P50" i="2"/>
  <c r="Y86" i="2"/>
  <c r="BM53" i="2"/>
  <c r="R50" i="2"/>
  <c r="AL46" i="3"/>
  <c r="AL47" i="2"/>
  <c r="BC61" i="2"/>
  <c r="L67" i="3"/>
  <c r="L67" i="2" s="1"/>
  <c r="L68" i="2"/>
  <c r="BE33" i="2"/>
  <c r="AR45" i="2"/>
  <c r="I70" i="2"/>
  <c r="H27" i="2"/>
  <c r="AL37" i="2"/>
  <c r="AJ54" i="2"/>
  <c r="AU19" i="2"/>
  <c r="AM33" i="2"/>
  <c r="Y48" i="2"/>
  <c r="AT66" i="2"/>
  <c r="AB23" i="2"/>
  <c r="AE43" i="2"/>
  <c r="AK84" i="2"/>
  <c r="AR76" i="2"/>
  <c r="L91" i="2"/>
  <c r="Y72" i="2"/>
  <c r="N77" i="2"/>
  <c r="S63" i="2"/>
  <c r="AX61" i="2"/>
  <c r="BJ70" i="2"/>
  <c r="AW67" i="3"/>
  <c r="AW67" i="2" s="1"/>
  <c r="AW68" i="2"/>
  <c r="AY67" i="3"/>
  <c r="AY67" i="2" s="1"/>
  <c r="AY68" i="2"/>
  <c r="AT59" i="2"/>
  <c r="AP65" i="2"/>
  <c r="AX83" i="2"/>
  <c r="AV79" i="2"/>
  <c r="BL78" i="2"/>
  <c r="AI14" i="2"/>
  <c r="T9" i="2"/>
  <c r="AS27" i="2"/>
  <c r="G10" i="2"/>
  <c r="AY25" i="3"/>
  <c r="AY25" i="2" s="1"/>
  <c r="AY26" i="2"/>
  <c r="H10" i="2"/>
  <c r="AJ22" i="2"/>
  <c r="BG8" i="2"/>
  <c r="AR18" i="2"/>
  <c r="X7" i="2"/>
  <c r="AR16" i="2"/>
  <c r="AW12" i="2"/>
  <c r="V30" i="2"/>
  <c r="J16" i="2"/>
  <c r="I4" i="3"/>
  <c r="I4" i="2" s="1"/>
  <c r="I5" i="2"/>
  <c r="AW14" i="2"/>
  <c r="AY13" i="2"/>
  <c r="Y34" i="2"/>
  <c r="S13" i="2"/>
  <c r="V29" i="2"/>
  <c r="J11" i="2"/>
  <c r="BG22" i="2"/>
  <c r="AU8" i="2"/>
  <c r="BI17" i="2"/>
  <c r="W35" i="2"/>
  <c r="AM20" i="2"/>
  <c r="BL29" i="2"/>
  <c r="BD39" i="2"/>
  <c r="P25" i="3"/>
  <c r="P25" i="2" s="1"/>
  <c r="P26" i="2"/>
  <c r="BH34" i="2"/>
  <c r="Y21" i="2"/>
  <c r="AW30" i="2"/>
  <c r="AN41" i="2"/>
  <c r="Z16" i="2"/>
  <c r="BJ23" i="2"/>
  <c r="AP33" i="2"/>
  <c r="AM23" i="2"/>
  <c r="AQ33" i="2"/>
  <c r="S69" i="2"/>
  <c r="P18" i="2"/>
  <c r="BC27" i="2"/>
  <c r="AO38" i="2"/>
  <c r="BI36" i="2"/>
  <c r="R23" i="2"/>
  <c r="AT33" i="2"/>
  <c r="AK28" i="2"/>
  <c r="BM40" i="2"/>
  <c r="AT10" i="2"/>
  <c r="AM17" i="2"/>
  <c r="K27" i="2"/>
  <c r="AJ37" i="2"/>
  <c r="AK30" i="2"/>
  <c r="AS63" i="2"/>
  <c r="K38" i="2"/>
  <c r="L35" i="2"/>
  <c r="BK46" i="3"/>
  <c r="BK47" i="2"/>
  <c r="AY10" i="2"/>
  <c r="Y18" i="2"/>
  <c r="P27" i="2"/>
  <c r="AO36" i="2"/>
  <c r="V8" i="2"/>
  <c r="BI14" i="2"/>
  <c r="V22" i="2"/>
  <c r="BD31" i="2"/>
  <c r="G44" i="2"/>
  <c r="AL9" i="2"/>
  <c r="AM16" i="2"/>
  <c r="AI24" i="2"/>
  <c r="V34" i="2"/>
  <c r="BB10" i="2"/>
  <c r="BB18" i="2"/>
  <c r="Z28" i="2"/>
  <c r="V38" i="2"/>
  <c r="AO51" i="2"/>
  <c r="J63" i="2"/>
  <c r="AP41" i="2"/>
  <c r="BF52" i="2"/>
  <c r="S64" i="2"/>
  <c r="BG43" i="2"/>
  <c r="AH55" i="2"/>
  <c r="AJ71" i="2"/>
  <c r="AB45" i="2"/>
  <c r="T56" i="2"/>
  <c r="U34" i="2"/>
  <c r="BD42" i="2"/>
  <c r="BM52" i="2"/>
  <c r="AA64" i="2"/>
  <c r="BB46" i="3"/>
  <c r="BB47" i="2"/>
  <c r="U57" i="2"/>
  <c r="BF31" i="2"/>
  <c r="AE39" i="2"/>
  <c r="BF48" i="2"/>
  <c r="BD58" i="2"/>
  <c r="W49" i="2"/>
  <c r="R59" i="2"/>
  <c r="Q43" i="2"/>
  <c r="AE53" i="2"/>
  <c r="X65" i="2"/>
  <c r="O40" i="2"/>
  <c r="AX49" i="2"/>
  <c r="AI64" i="2"/>
  <c r="K39" i="2"/>
  <c r="AO50" i="2"/>
  <c r="AM42" i="2"/>
  <c r="Z54" i="2"/>
  <c r="AQ50" i="2"/>
  <c r="BJ46" i="3"/>
  <c r="BJ47" i="2"/>
  <c r="U62" i="2"/>
  <c r="G69" i="2"/>
  <c r="G35" i="2"/>
  <c r="P46" i="3"/>
  <c r="P47" i="2"/>
  <c r="H71" i="2"/>
  <c r="AQ28" i="2"/>
  <c r="BG37" i="2"/>
  <c r="BJ54" i="2"/>
  <c r="V20" i="2"/>
  <c r="BG33" i="2"/>
  <c r="BK49" i="2"/>
  <c r="Q69" i="2"/>
  <c r="W24" i="2"/>
  <c r="BC43" i="2"/>
  <c r="AR72" i="2"/>
  <c r="AR79" i="2"/>
  <c r="AV95" i="2"/>
  <c r="BC74" i="2"/>
  <c r="AU77" i="2"/>
  <c r="AM63" i="2"/>
  <c r="BM62" i="2"/>
  <c r="AF72" i="2"/>
  <c r="M70" i="2"/>
  <c r="BF69" i="2"/>
  <c r="Z63" i="2"/>
  <c r="BD67" i="3"/>
  <c r="BD67" i="2" s="1"/>
  <c r="BD68" i="2"/>
  <c r="V87" i="2"/>
  <c r="AW88" i="3"/>
  <c r="AW88" i="2" s="1"/>
  <c r="AW89" i="2"/>
  <c r="AS70" i="2"/>
  <c r="BI32" i="2"/>
  <c r="AD12" i="2"/>
  <c r="AE24" i="2"/>
  <c r="N11" i="2"/>
  <c r="Q22" i="2"/>
  <c r="AA10" i="2"/>
  <c r="AY23" i="2"/>
  <c r="AI12" i="2"/>
  <c r="AH31" i="2"/>
  <c r="AG13" i="2"/>
  <c r="AG15" i="2"/>
  <c r="AS9" i="2"/>
  <c r="AY28" i="2"/>
  <c r="AJ10" i="2"/>
  <c r="BD27" i="2"/>
  <c r="AK10" i="2"/>
  <c r="J23" i="2"/>
  <c r="W9" i="2"/>
  <c r="P19" i="2"/>
  <c r="BA7" i="2"/>
  <c r="J17" i="2"/>
  <c r="L13" i="2"/>
  <c r="AF20" i="2"/>
  <c r="AU16" i="2"/>
  <c r="AG4" i="3"/>
  <c r="AG4" i="2" s="1"/>
  <c r="AG5" i="2"/>
  <c r="N15" i="2"/>
  <c r="Q14" i="2"/>
  <c r="BA13" i="2"/>
  <c r="AJ32" i="2"/>
  <c r="AJ11" i="2"/>
  <c r="AH23" i="2"/>
  <c r="G9" i="2"/>
  <c r="W18" i="2"/>
  <c r="BC35" i="2"/>
  <c r="BM20" i="2"/>
  <c r="W30" i="2"/>
  <c r="AK40" i="2"/>
  <c r="AN25" i="3"/>
  <c r="AN25" i="2" s="1"/>
  <c r="AN26" i="2"/>
  <c r="Y35" i="2"/>
  <c r="AV21" i="2"/>
  <c r="M31" i="2"/>
  <c r="AN42" i="2"/>
  <c r="AW16" i="2"/>
  <c r="R24" i="2"/>
  <c r="AE34" i="2"/>
  <c r="BK23" i="2"/>
  <c r="AJ34" i="2"/>
  <c r="Q11" i="2"/>
  <c r="AM18" i="2"/>
  <c r="J28" i="2"/>
  <c r="M39" i="2"/>
  <c r="AG37" i="2"/>
  <c r="AP23" i="2"/>
  <c r="H34" i="2"/>
  <c r="BI28" i="2"/>
  <c r="BL41" i="2"/>
  <c r="U11" i="2"/>
  <c r="BJ17" i="2"/>
  <c r="AI27" i="2"/>
  <c r="AY38" i="2"/>
  <c r="BI30" i="2"/>
  <c r="Z70" i="2"/>
  <c r="BC38" i="2"/>
  <c r="AR35" i="2"/>
  <c r="Z11" i="2"/>
  <c r="AV18" i="2"/>
  <c r="AN27" i="2"/>
  <c r="J37" i="2"/>
  <c r="AP8" i="2"/>
  <c r="Q15" i="2"/>
  <c r="AS22" i="2"/>
  <c r="L32" i="2"/>
  <c r="H45" i="2"/>
  <c r="BF9" i="2"/>
  <c r="BM16" i="2"/>
  <c r="BG24" i="2"/>
  <c r="AY34" i="2"/>
  <c r="I11" i="2"/>
  <c r="L19" i="2"/>
  <c r="AX28" i="2"/>
  <c r="AV39" i="2"/>
  <c r="AC52" i="2"/>
  <c r="AX63" i="2"/>
  <c r="Y42" i="2"/>
  <c r="W53" i="2"/>
  <c r="BJ65" i="2"/>
  <c r="P44" i="2"/>
  <c r="BI55" i="2"/>
  <c r="BJ72" i="2"/>
  <c r="AZ45" i="2"/>
  <c r="AX56" i="2"/>
  <c r="AO34" i="2"/>
  <c r="M43" i="2"/>
  <c r="BB53" i="2"/>
  <c r="AZ67" i="3"/>
  <c r="AZ67" i="2" s="1"/>
  <c r="AZ68" i="2"/>
  <c r="I48" i="2"/>
  <c r="AY57" i="2"/>
  <c r="M32" i="2"/>
  <c r="BC39" i="2"/>
  <c r="V49" i="2"/>
  <c r="Q59" i="2"/>
  <c r="AV49" i="2"/>
  <c r="BF59" i="2"/>
  <c r="AO43" i="2"/>
  <c r="BJ53" i="2"/>
  <c r="O66" i="2"/>
  <c r="AQ40" i="2"/>
  <c r="O50" i="2"/>
  <c r="Y65" i="2"/>
  <c r="AI39" i="2"/>
  <c r="AD51" i="2"/>
  <c r="BK42" i="2"/>
  <c r="BE54" i="2"/>
  <c r="BF51" i="2"/>
  <c r="Q48" i="2"/>
  <c r="BI62" i="2"/>
  <c r="L72" i="2"/>
  <c r="AA35" i="2"/>
  <c r="BL46" i="3"/>
  <c r="BL47" i="2"/>
  <c r="S72" i="2"/>
  <c r="BK28" i="2"/>
  <c r="AL38" i="2"/>
  <c r="X55" i="2"/>
  <c r="AP20" i="2"/>
  <c r="N34" i="2"/>
  <c r="W50" i="2"/>
  <c r="BK12" i="2"/>
  <c r="J27" i="2"/>
  <c r="L44" i="2"/>
  <c r="AR75" i="2"/>
  <c r="BJ80" i="2"/>
  <c r="AD65" i="2"/>
  <c r="AW76" i="2"/>
  <c r="AT78" i="2"/>
  <c r="AH65" i="2"/>
  <c r="T63" i="2"/>
  <c r="BF72" i="2"/>
  <c r="AM70" i="2"/>
  <c r="O70" i="2"/>
  <c r="BL64" i="2"/>
  <c r="BL72" i="2"/>
  <c r="AU39" i="2"/>
  <c r="S111" i="2"/>
  <c r="BD99" i="2"/>
  <c r="AF13" i="2"/>
  <c r="M35" i="2"/>
  <c r="AF14" i="2"/>
  <c r="X4" i="3"/>
  <c r="X4" i="2" s="1"/>
  <c r="X5" i="2"/>
  <c r="AE16" i="2"/>
  <c r="AI10" i="2"/>
  <c r="BH31" i="2"/>
  <c r="BI10" i="2"/>
  <c r="AZ28" i="2"/>
  <c r="BJ10" i="2"/>
  <c r="BC24" i="2"/>
  <c r="AV9" i="2"/>
  <c r="BB19" i="2"/>
  <c r="I8" i="2"/>
  <c r="AV17" i="2"/>
  <c r="AT13" i="2"/>
  <c r="K21" i="2"/>
  <c r="N17" i="2"/>
  <c r="BI4" i="3"/>
  <c r="BI4" i="2" s="1"/>
  <c r="BI5" i="2"/>
  <c r="AW15" i="2"/>
  <c r="J4" i="3"/>
  <c r="J4" i="2" s="1"/>
  <c r="J5" i="2"/>
  <c r="AY14" i="2"/>
  <c r="V14" i="2"/>
  <c r="AV34" i="2"/>
  <c r="BL11" i="2"/>
  <c r="AA24" i="2"/>
  <c r="AG9" i="2"/>
  <c r="BI18" i="2"/>
  <c r="R36" i="2"/>
  <c r="W21" i="2"/>
  <c r="AU30" i="2"/>
  <c r="AD41" i="2"/>
  <c r="BL25" i="3"/>
  <c r="BL25" i="2" s="1"/>
  <c r="BL26" i="2"/>
  <c r="BG35" i="2"/>
  <c r="AC22" i="2"/>
  <c r="AM31" i="2"/>
  <c r="AG43" i="2"/>
  <c r="G17" i="2"/>
  <c r="AT24" i="2"/>
  <c r="BL34" i="2"/>
  <c r="S24" i="2"/>
  <c r="BM34" i="2"/>
  <c r="AK11" i="2"/>
  <c r="BJ18" i="2"/>
  <c r="AH28" i="2"/>
  <c r="BK39" i="2"/>
  <c r="AP38" i="2"/>
  <c r="Z24" i="2"/>
  <c r="AM34" i="2"/>
  <c r="X29" i="2"/>
  <c r="BL42" i="2"/>
  <c r="AO11" i="2"/>
  <c r="T18" i="2"/>
  <c r="BG27" i="2"/>
  <c r="U39" i="2"/>
  <c r="V31" i="2"/>
  <c r="AA29" i="2"/>
  <c r="AF39" i="2"/>
  <c r="G36" i="2"/>
  <c r="AT11" i="2"/>
  <c r="I19" i="2"/>
  <c r="BL27" i="2"/>
  <c r="AU37" i="2"/>
  <c r="BJ8" i="2"/>
  <c r="AL15" i="2"/>
  <c r="AD23" i="2"/>
  <c r="AL32" i="2"/>
  <c r="BB52" i="2"/>
  <c r="M10" i="2"/>
  <c r="W17" i="2"/>
  <c r="G25" i="3"/>
  <c r="G25" i="2" s="1"/>
  <c r="G26" i="2"/>
  <c r="Q35" i="2"/>
  <c r="AC11" i="2"/>
  <c r="AI19" i="2"/>
  <c r="I29" i="2"/>
  <c r="X40" i="2"/>
  <c r="BD52" i="2"/>
  <c r="N64" i="2"/>
  <c r="BA42" i="2"/>
  <c r="AW53" i="2"/>
  <c r="BB66" i="2"/>
  <c r="AR44" i="2"/>
  <c r="S56" i="2"/>
  <c r="K75" i="2"/>
  <c r="X46" i="3"/>
  <c r="X47" i="2"/>
  <c r="O57" i="2"/>
  <c r="BI34" i="2"/>
  <c r="BI43" i="2"/>
  <c r="R54" i="2"/>
  <c r="AO69" i="2"/>
  <c r="AG48" i="2"/>
  <c r="R58" i="2"/>
  <c r="AG32" i="2"/>
  <c r="L40" i="2"/>
  <c r="AU49" i="2"/>
  <c r="BD59" i="2"/>
  <c r="I50" i="2"/>
  <c r="AB60" i="2"/>
  <c r="Z44" i="2"/>
  <c r="V54" i="2"/>
  <c r="BJ67" i="3"/>
  <c r="BJ67" i="2" s="1"/>
  <c r="BJ68" i="2"/>
  <c r="Z41" i="2"/>
  <c r="BM50" i="2"/>
  <c r="Q66" i="2"/>
  <c r="BG39" i="2"/>
  <c r="BD51" i="2"/>
  <c r="T43" i="2"/>
  <c r="Q55" i="2"/>
  <c r="H53" i="2"/>
  <c r="AS48" i="2"/>
  <c r="K67" i="3"/>
  <c r="K67" i="2" s="1"/>
  <c r="K68" i="2"/>
  <c r="BE80" i="2"/>
  <c r="AU35" i="2"/>
  <c r="S48" i="2"/>
  <c r="O74" i="2"/>
  <c r="R29" i="2"/>
  <c r="I41" i="2"/>
  <c r="BB55" i="2"/>
  <c r="BJ20" i="2"/>
  <c r="AH34" i="2"/>
  <c r="AW50" i="2"/>
  <c r="M14" i="2"/>
  <c r="AS28" i="2"/>
  <c r="AJ44" i="2"/>
  <c r="AM79" i="2"/>
  <c r="AM86" i="2"/>
  <c r="AN67" i="3"/>
  <c r="AN67" i="2" s="1"/>
  <c r="AN68" i="2"/>
  <c r="M77" i="2"/>
  <c r="N79" i="2"/>
  <c r="AR67" i="3"/>
  <c r="AR67" i="2" s="1"/>
  <c r="AR68" i="2"/>
  <c r="N65" i="2"/>
  <c r="BI75" i="2"/>
  <c r="BG72" i="2"/>
  <c r="BI72" i="2"/>
  <c r="BL66" i="2"/>
  <c r="G75" i="2"/>
  <c r="AA43" i="2"/>
  <c r="BH85" i="2"/>
  <c r="BB127" i="2"/>
  <c r="AQ6" i="2"/>
  <c r="J8" i="2"/>
  <c r="AK8" i="2"/>
  <c r="Q10" i="2"/>
  <c r="O18" i="2"/>
  <c r="BD15" i="2"/>
  <c r="AA13" i="2"/>
  <c r="U27" i="2"/>
  <c r="AF12" i="2"/>
  <c r="AX23" i="2"/>
  <c r="O11" i="2"/>
  <c r="AB25" i="3"/>
  <c r="AB25" i="2" s="1"/>
  <c r="AB26" i="2"/>
  <c r="AE14" i="2"/>
  <c r="AJ67" i="3"/>
  <c r="AJ67" i="2" s="1"/>
  <c r="AJ68" i="2"/>
  <c r="AE15" i="2"/>
  <c r="AV4" i="3"/>
  <c r="AV4" i="2" s="1"/>
  <c r="AV5" i="2"/>
  <c r="AI17" i="2"/>
  <c r="BH10" i="2"/>
  <c r="AG33" i="2"/>
  <c r="V11" i="2"/>
  <c r="BI31" i="2"/>
  <c r="W11" i="2"/>
  <c r="BD25" i="3"/>
  <c r="BD25" i="2" s="1"/>
  <c r="BD26" i="2"/>
  <c r="I10" i="2"/>
  <c r="AC20" i="2"/>
  <c r="AH8" i="2"/>
  <c r="I18" i="2"/>
  <c r="K14" i="2"/>
  <c r="BJ21" i="2"/>
  <c r="AY17" i="2"/>
  <c r="T6" i="2"/>
  <c r="K16" i="2"/>
  <c r="AH4" i="3"/>
  <c r="AH4" i="2" s="1"/>
  <c r="AH5" i="2"/>
  <c r="O15" i="2"/>
  <c r="K4" i="3"/>
  <c r="K4" i="2" s="1"/>
  <c r="K5" i="2"/>
  <c r="AZ14" i="2"/>
  <c r="U43" i="2"/>
  <c r="AA12" i="2"/>
  <c r="I25" i="3"/>
  <c r="I25" i="2" s="1"/>
  <c r="I26" i="2"/>
  <c r="BJ9" i="2"/>
  <c r="AE19" i="2"/>
  <c r="AX36" i="2"/>
  <c r="AT21" i="2"/>
  <c r="K31" i="2"/>
  <c r="X42" i="2"/>
  <c r="W27" i="2"/>
  <c r="T36" i="2"/>
  <c r="BC22" i="2"/>
  <c r="BL31" i="2"/>
  <c r="AF44" i="2"/>
  <c r="AD17" i="2"/>
  <c r="R25" i="3"/>
  <c r="R25" i="2" s="1"/>
  <c r="R26" i="2"/>
  <c r="AE35" i="2"/>
  <c r="AU24" i="2"/>
  <c r="AF35" i="2"/>
  <c r="BE11" i="2"/>
  <c r="T19" i="2"/>
  <c r="BF28" i="2"/>
  <c r="AV40" i="2"/>
  <c r="N39" i="2"/>
  <c r="AX24" i="2"/>
  <c r="AI35" i="2"/>
  <c r="AV29" i="2"/>
  <c r="BE43" i="2"/>
  <c r="BI11" i="2"/>
  <c r="AQ18" i="2"/>
  <c r="N28" i="2"/>
  <c r="BM41" i="2"/>
  <c r="AY31" i="2"/>
  <c r="AY29" i="2"/>
  <c r="AR46" i="3"/>
  <c r="AR47" i="2"/>
  <c r="AM36" i="2"/>
  <c r="U12" i="2"/>
  <c r="AF19" i="2"/>
  <c r="S28" i="2"/>
  <c r="N38" i="2"/>
  <c r="Q9" i="2"/>
  <c r="BH15" i="2"/>
  <c r="BB23" i="2"/>
  <c r="AC33" i="2"/>
  <c r="AE55" i="2"/>
  <c r="AG10" i="2"/>
  <c r="AT17" i="2"/>
  <c r="AE25" i="3"/>
  <c r="AE25" i="2" s="1"/>
  <c r="AE26" i="2"/>
  <c r="AZ35" i="2"/>
  <c r="S4" i="3"/>
  <c r="S4" i="2" s="1"/>
  <c r="S5" i="2"/>
  <c r="AW11" i="2"/>
  <c r="BF19" i="2"/>
  <c r="AG29" i="2"/>
  <c r="M41" i="2"/>
  <c r="V53" i="2"/>
  <c r="BH65" i="2"/>
  <c r="J43" i="2"/>
  <c r="O54" i="2"/>
  <c r="AL67" i="3"/>
  <c r="AL67" i="2" s="1"/>
  <c r="AL68" i="2"/>
  <c r="AA45" i="2"/>
  <c r="AW56" i="2"/>
  <c r="Y37" i="2"/>
  <c r="AZ46" i="3"/>
  <c r="AZ47" i="2"/>
  <c r="AU57" i="2"/>
  <c r="AJ35" i="2"/>
  <c r="R44" i="2"/>
  <c r="AR54" i="2"/>
  <c r="AP70" i="2"/>
  <c r="BE48" i="2"/>
  <c r="BC58" i="2"/>
  <c r="BA32" i="2"/>
  <c r="AJ40" i="2"/>
  <c r="H50" i="2"/>
  <c r="AA60" i="2"/>
  <c r="AL50" i="2"/>
  <c r="AQ61" i="2"/>
  <c r="AX44" i="2"/>
  <c r="AX54" i="2"/>
  <c r="BE69" i="2"/>
  <c r="AX41" i="2"/>
  <c r="Y51" i="2"/>
  <c r="BG69" i="2"/>
  <c r="P40" i="2"/>
  <c r="M52" i="2"/>
  <c r="AV43" i="2"/>
  <c r="AS55" i="2"/>
  <c r="R55" i="2"/>
  <c r="AC49" i="2"/>
  <c r="BI51" i="2"/>
  <c r="Y23" i="2"/>
  <c r="V36" i="2"/>
  <c r="AT50" i="2"/>
  <c r="AK77" i="2"/>
  <c r="AL29" i="2"/>
  <c r="AR42" i="2"/>
  <c r="AM56" i="2"/>
  <c r="Q21" i="2"/>
  <c r="BB34" i="2"/>
  <c r="L51" i="2"/>
  <c r="AG14" i="2"/>
  <c r="BM28" i="2"/>
  <c r="S46" i="3"/>
  <c r="S47" i="2"/>
  <c r="P80" i="2"/>
  <c r="AY64" i="2"/>
  <c r="AD70" i="2"/>
  <c r="I78" i="2"/>
  <c r="BH84" i="2"/>
  <c r="AH70" i="2"/>
  <c r="U67" i="3"/>
  <c r="U67" i="2" s="1"/>
  <c r="U68" i="2"/>
  <c r="AZ78" i="2"/>
  <c r="Y76" i="2"/>
  <c r="BL75" i="2"/>
  <c r="N72" i="2"/>
  <c r="BI78" i="2"/>
  <c r="BJ44" i="2"/>
  <c r="AB97" i="2"/>
  <c r="BE114" i="2"/>
  <c r="AV16" i="2"/>
  <c r="BJ4" i="3"/>
  <c r="BJ4" i="2" s="1"/>
  <c r="BJ5" i="2"/>
  <c r="AY15" i="2"/>
  <c r="AI4" i="3"/>
  <c r="AI4" i="2" s="1"/>
  <c r="AI5" i="2"/>
  <c r="T15" i="2"/>
  <c r="BE12" i="2"/>
  <c r="N27" i="2"/>
  <c r="V10" i="2"/>
  <c r="AZ20" i="2"/>
  <c r="U37" i="2"/>
  <c r="AA22" i="2"/>
  <c r="AJ31" i="2"/>
  <c r="W43" i="2"/>
  <c r="AY27" i="2"/>
  <c r="BB36" i="2"/>
  <c r="M23" i="2"/>
  <c r="T32" i="2"/>
  <c r="AP45" i="2"/>
  <c r="BA17" i="2"/>
  <c r="AP25" i="3"/>
  <c r="AP25" i="2" s="1"/>
  <c r="AP26" i="2"/>
  <c r="BK35" i="2"/>
  <c r="S25" i="3"/>
  <c r="S25" i="2" s="1"/>
  <c r="S26" i="2"/>
  <c r="BL35" i="2"/>
  <c r="L12" i="2"/>
  <c r="AQ19" i="2"/>
  <c r="U29" i="2"/>
  <c r="BA41" i="2"/>
  <c r="BA40" i="2"/>
  <c r="V25" i="3"/>
  <c r="V25" i="2" s="1"/>
  <c r="V26" i="2"/>
  <c r="AD36" i="2"/>
  <c r="G30" i="2"/>
  <c r="BD44" i="2"/>
  <c r="P12" i="2"/>
  <c r="X19" i="2"/>
  <c r="AL28" i="2"/>
  <c r="BM42" i="2"/>
  <c r="G32" i="2"/>
  <c r="J30" i="2"/>
  <c r="BH49" i="2"/>
  <c r="G37" i="2"/>
  <c r="P4" i="3"/>
  <c r="P4" i="2" s="1"/>
  <c r="P5" i="2"/>
  <c r="AP12" i="2"/>
  <c r="BC19" i="2"/>
  <c r="AU28" i="2"/>
  <c r="BF38" i="2"/>
  <c r="AK9" i="2"/>
  <c r="O16" i="2"/>
  <c r="J24" i="2"/>
  <c r="BD33" i="2"/>
  <c r="BA10" i="2"/>
  <c r="AA18" i="2"/>
  <c r="BG25" i="3"/>
  <c r="BG25" i="2" s="1"/>
  <c r="BG26" i="2"/>
  <c r="L36" i="2"/>
  <c r="AM4" i="3"/>
  <c r="AM4" i="2" s="1"/>
  <c r="AM5" i="2"/>
  <c r="Y12" i="2"/>
  <c r="M20" i="2"/>
  <c r="BI29" i="2"/>
  <c r="Q42" i="2"/>
  <c r="AV53" i="2"/>
  <c r="AW66" i="2"/>
  <c r="AH43" i="2"/>
  <c r="AO54" i="2"/>
  <c r="AG69" i="2"/>
  <c r="AY45" i="2"/>
  <c r="M57" i="2"/>
  <c r="AS37" i="2"/>
  <c r="G48" i="2"/>
  <c r="AV58" i="2"/>
  <c r="BD35" i="2"/>
  <c r="AT44" i="2"/>
  <c r="J55" i="2"/>
  <c r="AY71" i="2"/>
  <c r="U49" i="2"/>
  <c r="P59" i="2"/>
  <c r="H33" i="2"/>
  <c r="BL40" i="2"/>
  <c r="AK50" i="2"/>
  <c r="AP61" i="2"/>
  <c r="BK50" i="2"/>
  <c r="O62" i="2"/>
  <c r="I45" i="2"/>
  <c r="N55" i="2"/>
  <c r="AZ70" i="2"/>
  <c r="M42" i="2"/>
  <c r="BC51" i="2"/>
  <c r="BG70" i="2"/>
  <c r="AR40" i="2"/>
  <c r="BL53" i="2"/>
  <c r="AC44" i="2"/>
  <c r="AF56" i="2"/>
  <c r="AX55" i="2"/>
  <c r="BC49" i="2"/>
  <c r="S52" i="2"/>
  <c r="AS23" i="2"/>
  <c r="AP36" i="2"/>
  <c r="T52" i="2"/>
  <c r="U16" i="2"/>
  <c r="BF29" i="2"/>
  <c r="AC43" i="2"/>
  <c r="V61" i="2"/>
  <c r="AK21" i="2"/>
  <c r="I35" i="2"/>
  <c r="AK51" i="2"/>
  <c r="BA14" i="2"/>
  <c r="T29" i="2"/>
  <c r="Z48" i="2"/>
  <c r="AC81" i="2"/>
  <c r="G65" i="2"/>
  <c r="BB70" i="2"/>
  <c r="AP78" i="2"/>
  <c r="S106" i="2"/>
  <c r="BH70" i="2"/>
  <c r="K70" i="2"/>
  <c r="BB81" i="2"/>
  <c r="T78" i="2"/>
  <c r="BH77" i="2"/>
  <c r="AY73" i="2"/>
  <c r="AF92" i="2"/>
  <c r="AW46" i="3"/>
  <c r="AW47" i="2"/>
  <c r="BF77" i="2"/>
  <c r="BL106" i="2"/>
  <c r="F19" i="2"/>
  <c r="F100" i="2"/>
  <c r="F70" i="2"/>
  <c r="F53" i="2"/>
  <c r="F113" i="2"/>
  <c r="BM10" i="2"/>
  <c r="AT16" i="2"/>
  <c r="N14" i="2"/>
  <c r="N4" i="3"/>
  <c r="N4" i="2" s="1"/>
  <c r="N5" i="2"/>
  <c r="AD4" i="3"/>
  <c r="AD4" i="2" s="1"/>
  <c r="AD5" i="2"/>
  <c r="BD16" i="2"/>
  <c r="O4" i="3"/>
  <c r="O4" i="2" s="1"/>
  <c r="O5" i="2"/>
  <c r="Z14" i="2"/>
  <c r="AT29" i="2"/>
  <c r="AB13" i="2"/>
  <c r="AA25" i="3"/>
  <c r="AA25" i="2" s="1"/>
  <c r="AA26" i="2"/>
  <c r="AH12" i="2"/>
  <c r="AI28" i="2"/>
  <c r="AD15" i="2"/>
  <c r="AD16" i="2"/>
  <c r="AI6" i="2"/>
  <c r="AW19" i="2"/>
  <c r="AY11" i="2"/>
  <c r="Y38" i="2"/>
  <c r="I12" i="2"/>
  <c r="K12" i="2"/>
  <c r="BG28" i="2"/>
  <c r="BK10" i="2"/>
  <c r="AL22" i="2"/>
  <c r="X9" i="2"/>
  <c r="Q19" i="2"/>
  <c r="J15" i="2"/>
  <c r="U23" i="2"/>
  <c r="BC18" i="2"/>
  <c r="AF7" i="2"/>
  <c r="O17" i="2"/>
  <c r="U6" i="2"/>
  <c r="L16" i="2"/>
  <c r="BK4" i="3"/>
  <c r="BK4" i="2" s="1"/>
  <c r="BK5" i="2"/>
  <c r="AZ15" i="2"/>
  <c r="X13" i="2"/>
  <c r="P28" i="2"/>
  <c r="AV10" i="2"/>
  <c r="AC21" i="2"/>
  <c r="BD37" i="2"/>
  <c r="AX22" i="2"/>
  <c r="BJ31" i="2"/>
  <c r="AD44" i="2"/>
  <c r="AD28" i="2"/>
  <c r="W37" i="2"/>
  <c r="AK23" i="2"/>
  <c r="AW32" i="2"/>
  <c r="AY48" i="2"/>
  <c r="N18" i="2"/>
  <c r="Y27" i="2"/>
  <c r="Z36" i="2"/>
  <c r="AQ25" i="3"/>
  <c r="AQ25" i="2" s="1"/>
  <c r="AQ26" i="2"/>
  <c r="AA36" i="2"/>
  <c r="AG12" i="2"/>
  <c r="X20" i="2"/>
  <c r="AS29" i="2"/>
  <c r="AU42" i="2"/>
  <c r="BF41" i="2"/>
  <c r="AT25" i="3"/>
  <c r="AT25" i="2" s="1"/>
  <c r="AT26" i="2"/>
  <c r="AH37" i="2"/>
  <c r="AE30" i="2"/>
  <c r="T46" i="3"/>
  <c r="T47" i="2"/>
  <c r="AK12" i="2"/>
  <c r="AX19" i="2"/>
  <c r="Y29" i="2"/>
  <c r="BM44" i="2"/>
  <c r="AF32" i="2"/>
  <c r="AL30" i="2"/>
  <c r="AX60" i="2"/>
  <c r="AQ37" i="2"/>
  <c r="AJ4" i="3"/>
  <c r="AJ4" i="2" s="1"/>
  <c r="AJ5" i="2"/>
  <c r="BL12" i="2"/>
  <c r="J20" i="2"/>
  <c r="AD29" i="2"/>
  <c r="AK39" i="2"/>
  <c r="BE9" i="2"/>
  <c r="AL16" i="2"/>
  <c r="AH24" i="2"/>
  <c r="T34" i="2"/>
  <c r="H11" i="2"/>
  <c r="AX18" i="2"/>
  <c r="R27" i="2"/>
  <c r="AU36" i="2"/>
  <c r="BG4" i="3"/>
  <c r="BG4" i="2" s="1"/>
  <c r="BG5" i="2"/>
  <c r="AT12" i="2"/>
  <c r="AJ20" i="2"/>
  <c r="T30" i="2"/>
  <c r="P43" i="2"/>
  <c r="J54" i="2"/>
  <c r="AK67" i="3"/>
  <c r="AK67" i="2" s="1"/>
  <c r="AK68" i="2"/>
  <c r="BF43" i="2"/>
  <c r="AG55" i="2"/>
  <c r="AB70" i="2"/>
  <c r="W46" i="3"/>
  <c r="W47" i="2"/>
  <c r="AT57" i="2"/>
  <c r="W38" i="2"/>
  <c r="BC48" i="2"/>
  <c r="N59" i="2"/>
  <c r="K36" i="2"/>
  <c r="AC45" i="2"/>
  <c r="AJ55" i="2"/>
  <c r="U85" i="2"/>
  <c r="AT49" i="2"/>
  <c r="BC59" i="2"/>
  <c r="AB33" i="2"/>
  <c r="W41" i="2"/>
  <c r="BJ50" i="2"/>
  <c r="J62" i="2"/>
  <c r="W51" i="2"/>
  <c r="BC62" i="2"/>
  <c r="AG45" i="2"/>
  <c r="AO55" i="2"/>
  <c r="AA73" i="2"/>
  <c r="AK42" i="2"/>
  <c r="AG53" i="2"/>
  <c r="BC73" i="2"/>
  <c r="AA41" i="2"/>
  <c r="AR55" i="2"/>
  <c r="BA44" i="2"/>
  <c r="BH56" i="2"/>
  <c r="G56" i="2"/>
  <c r="S50" i="2"/>
  <c r="AW52" i="2"/>
  <c r="T24" i="2"/>
  <c r="BJ36" i="2"/>
  <c r="AX52" i="2"/>
  <c r="BI16" i="2"/>
  <c r="M30" i="2"/>
  <c r="BA43" i="2"/>
  <c r="G64" i="2"/>
  <c r="L22" i="2"/>
  <c r="AC35" i="2"/>
  <c r="BM51" i="2"/>
  <c r="H15" i="2"/>
  <c r="AN29" i="2"/>
  <c r="AX50" i="2"/>
  <c r="L82" i="2"/>
  <c r="AY65" i="2"/>
  <c r="AO71" i="2"/>
  <c r="J83" i="2"/>
  <c r="BB72" i="2"/>
  <c r="AS71" i="2"/>
  <c r="V71" i="2"/>
  <c r="L84" i="2"/>
  <c r="BJ79" i="2"/>
  <c r="X79" i="2"/>
  <c r="AE77" i="2"/>
  <c r="U40" i="2"/>
  <c r="AC51" i="2"/>
  <c r="AI85" i="2"/>
  <c r="AB106" i="2"/>
  <c r="F57" i="2"/>
  <c r="F11" i="2"/>
  <c r="F14" i="2"/>
  <c r="F61" i="2"/>
  <c r="F7" i="2"/>
  <c r="F16" i="2"/>
  <c r="U19" i="2"/>
  <c r="S7" i="2"/>
  <c r="S6" i="2"/>
  <c r="AO6" i="2"/>
  <c r="AA17" i="2"/>
  <c r="AQ4" i="3"/>
  <c r="AQ4" i="2" s="1"/>
  <c r="AQ5" i="2"/>
  <c r="BF14" i="2"/>
  <c r="BB37" i="2"/>
  <c r="BH13" i="2"/>
  <c r="AF27" i="2"/>
  <c r="AD13" i="2"/>
  <c r="BJ29" i="2"/>
  <c r="BL15" i="2"/>
  <c r="W4" i="3"/>
  <c r="W4" i="2" s="1"/>
  <c r="W5" i="2"/>
  <c r="AH17" i="2"/>
  <c r="BG6" i="2"/>
  <c r="O20" i="2"/>
  <c r="H12" i="2"/>
  <c r="AN12" i="2"/>
  <c r="AO12" i="2"/>
  <c r="BK33" i="2"/>
  <c r="X11" i="2"/>
  <c r="O23" i="2"/>
  <c r="AW9" i="2"/>
  <c r="BG19" i="2"/>
  <c r="AQ15" i="2"/>
  <c r="G24" i="2"/>
  <c r="V19" i="2"/>
  <c r="BE7" i="2"/>
  <c r="AZ17" i="2"/>
  <c r="AS6" i="2"/>
  <c r="AX16" i="2"/>
  <c r="V6" i="2"/>
  <c r="M16" i="2"/>
  <c r="L4" i="3"/>
  <c r="L4" i="2" s="1"/>
  <c r="L5" i="2"/>
  <c r="BB13" i="2"/>
  <c r="AC29" i="2"/>
  <c r="K11" i="2"/>
  <c r="H22" i="2"/>
  <c r="AA38" i="2"/>
  <c r="K23" i="2"/>
  <c r="R32" i="2"/>
  <c r="AF45" i="2"/>
  <c r="BB28" i="2"/>
  <c r="BJ37" i="2"/>
  <c r="BI23" i="2"/>
  <c r="J33" i="2"/>
  <c r="AU53" i="2"/>
  <c r="AK18" i="2"/>
  <c r="BA27" i="2"/>
  <c r="BF36" i="2"/>
  <c r="Z27" i="2"/>
  <c r="BG36" i="2"/>
  <c r="BB12" i="2"/>
  <c r="AU20" i="2"/>
  <c r="AB30" i="2"/>
  <c r="AX43" i="2"/>
  <c r="AV42" i="2"/>
  <c r="AG27" i="2"/>
  <c r="AR38" i="2"/>
  <c r="BG30" i="2"/>
  <c r="J49" i="2"/>
  <c r="BF12" i="2"/>
  <c r="AB20" i="2"/>
  <c r="AW29" i="2"/>
  <c r="AK46" i="3"/>
  <c r="AK47" i="2"/>
  <c r="BF32" i="2"/>
  <c r="BJ30" i="2"/>
  <c r="AB29" i="2"/>
  <c r="L38" i="2"/>
  <c r="BD4" i="3"/>
  <c r="BD4" i="2" s="1"/>
  <c r="BD5" i="2"/>
  <c r="T13" i="2"/>
  <c r="AG20" i="2"/>
  <c r="BB29" i="2"/>
  <c r="Q40" i="2"/>
  <c r="L10" i="2"/>
  <c r="BL16" i="2"/>
  <c r="BF24" i="2"/>
  <c r="AX34" i="2"/>
  <c r="AB11" i="2"/>
  <c r="K19" i="2"/>
  <c r="AP27" i="2"/>
  <c r="N37" i="2"/>
  <c r="N6" i="2"/>
  <c r="W13" i="2"/>
  <c r="BG20" i="2"/>
  <c r="AR30" i="2"/>
  <c r="M44" i="2"/>
  <c r="AN54" i="2"/>
  <c r="Z69" i="2"/>
  <c r="O44" i="2"/>
  <c r="BG55" i="2"/>
  <c r="AI71" i="2"/>
  <c r="AY46" i="3"/>
  <c r="AY47" i="2"/>
  <c r="O58" i="2"/>
  <c r="AB39" i="2"/>
  <c r="O49" i="2"/>
  <c r="BA59" i="2"/>
  <c r="AE36" i="2"/>
  <c r="BA45" i="2"/>
  <c r="BL55" i="2"/>
  <c r="K40" i="2"/>
  <c r="AJ50" i="2"/>
  <c r="Z60" i="2"/>
  <c r="AV33" i="2"/>
  <c r="AU41" i="2"/>
  <c r="U51" i="2"/>
  <c r="AX62" i="2"/>
  <c r="BA51" i="2"/>
  <c r="R63" i="2"/>
  <c r="BI45" i="2"/>
  <c r="AC56" i="2"/>
  <c r="U35" i="2"/>
  <c r="BI42" i="2"/>
  <c r="BK53" i="2"/>
  <c r="AL76" i="2"/>
  <c r="AY41" i="2"/>
  <c r="AE56" i="2"/>
  <c r="L45" i="2"/>
  <c r="AA57" i="2"/>
  <c r="AG56" i="2"/>
  <c r="AR50" i="2"/>
  <c r="K53" i="2"/>
  <c r="AN24" i="2"/>
  <c r="Q37" i="2"/>
  <c r="M53" i="2"/>
  <c r="P17" i="2"/>
  <c r="AG30" i="2"/>
  <c r="J44" i="2"/>
  <c r="BD64" i="2"/>
  <c r="V24" i="2"/>
  <c r="AW35" i="2"/>
  <c r="Z52" i="2"/>
  <c r="AB15" i="2"/>
  <c r="BH29" i="2"/>
  <c r="BA52" i="2"/>
  <c r="AB86" i="2"/>
  <c r="AB66" i="2"/>
  <c r="BM71" i="2"/>
  <c r="Z93" i="2"/>
  <c r="L73" i="2"/>
  <c r="AD72" i="2"/>
  <c r="AT71" i="2"/>
  <c r="Y96" i="2"/>
  <c r="AM80" i="2"/>
  <c r="AO80" i="2"/>
  <c r="L85" i="2"/>
  <c r="K42" i="2"/>
  <c r="BL52" i="2"/>
  <c r="AC97" i="2"/>
  <c r="T122" i="2"/>
  <c r="F17" i="2"/>
  <c r="F99" i="2"/>
  <c r="F105" i="2"/>
  <c r="F119" i="2"/>
  <c r="F18" i="2"/>
  <c r="F63" i="2"/>
  <c r="AP4" i="3"/>
  <c r="AP4" i="2" s="1"/>
  <c r="AP5" i="2"/>
  <c r="AL8" i="2"/>
  <c r="BB7" i="2"/>
  <c r="BK7" i="2"/>
  <c r="BK17" i="2"/>
  <c r="Z6" i="2"/>
  <c r="X15" i="2"/>
  <c r="T4" i="3"/>
  <c r="T4" i="2" s="1"/>
  <c r="T5" i="2"/>
  <c r="AB14" i="2"/>
  <c r="AB28" i="2"/>
  <c r="BI13" i="2"/>
  <c r="Y31" i="2"/>
  <c r="AC16" i="2"/>
  <c r="AU4" i="3"/>
  <c r="AU4" i="2" s="1"/>
  <c r="AU5" i="2"/>
  <c r="AJ18" i="2"/>
  <c r="R7" i="2"/>
  <c r="AS21" i="2"/>
  <c r="AM12" i="2"/>
  <c r="AK13" i="2"/>
  <c r="G13" i="2"/>
  <c r="S45" i="2"/>
  <c r="BB11" i="2"/>
  <c r="BD24" i="2"/>
  <c r="J10" i="2"/>
  <c r="AD20" i="2"/>
  <c r="G16" i="2"/>
  <c r="AN30" i="2"/>
  <c r="BK19" i="2"/>
  <c r="M8" i="2"/>
  <c r="R18" i="2"/>
  <c r="AG7" i="2"/>
  <c r="S17" i="2"/>
  <c r="AT6" i="2"/>
  <c r="AZ16" i="2"/>
  <c r="AN4" i="3"/>
  <c r="AN4" i="2" s="1"/>
  <c r="AN5" i="2"/>
  <c r="W14" i="2"/>
  <c r="AO32" i="2"/>
  <c r="AL11" i="2"/>
  <c r="BI22" i="2"/>
  <c r="BB39" i="2"/>
  <c r="AI23" i="2"/>
  <c r="AU32" i="2"/>
  <c r="AA48" i="2"/>
  <c r="M29" i="2"/>
  <c r="AG38" i="2"/>
  <c r="Q24" i="2"/>
  <c r="AO33" i="2"/>
  <c r="N56" i="2"/>
  <c r="BH18" i="2"/>
  <c r="H28" i="2"/>
  <c r="AA37" i="2"/>
  <c r="BB27" i="2"/>
  <c r="AC37" i="2"/>
  <c r="J13" i="2"/>
  <c r="AB21" i="2"/>
  <c r="BD30" i="2"/>
  <c r="AW44" i="2"/>
  <c r="AY43" i="2"/>
  <c r="BE27" i="2"/>
  <c r="O39" i="2"/>
  <c r="T31" i="2"/>
  <c r="AM51" i="2"/>
  <c r="N13" i="2"/>
  <c r="AY20" i="2"/>
  <c r="H30" i="2"/>
  <c r="AD49" i="2"/>
  <c r="W33" i="2"/>
  <c r="W31" i="2"/>
  <c r="AZ29" i="2"/>
  <c r="BD38" i="2"/>
  <c r="K6" i="2"/>
  <c r="AO13" i="2"/>
  <c r="BD20" i="2"/>
  <c r="Q30" i="2"/>
  <c r="AB52" i="2"/>
  <c r="AF10" i="2"/>
  <c r="V17" i="2"/>
  <c r="AD25" i="3"/>
  <c r="AD25" i="2" s="1"/>
  <c r="AD26" i="2"/>
  <c r="O35" i="2"/>
  <c r="R4" i="3"/>
  <c r="R4" i="2" s="1"/>
  <c r="R5" i="2"/>
  <c r="AV11" i="2"/>
  <c r="AH19" i="2"/>
  <c r="U28" i="2"/>
  <c r="AX37" i="2"/>
  <c r="AH6" i="2"/>
  <c r="AR13" i="2"/>
  <c r="T21" i="2"/>
  <c r="AG31" i="2"/>
  <c r="R45" i="2"/>
  <c r="AF55" i="2"/>
  <c r="AA70" i="2"/>
  <c r="AQ44" i="2"/>
  <c r="R56" i="2"/>
  <c r="BH72" i="2"/>
  <c r="AD48" i="2"/>
  <c r="M59" i="2"/>
  <c r="AZ39" i="2"/>
  <c r="AR49" i="2"/>
  <c r="T60" i="2"/>
  <c r="AY36" i="2"/>
  <c r="Y46" i="3"/>
  <c r="Y47" i="2"/>
  <c r="Y56" i="2"/>
  <c r="AI40" i="2"/>
  <c r="BI50" i="2"/>
  <c r="AO61" i="2"/>
  <c r="W34" i="2"/>
  <c r="AH42" i="2"/>
  <c r="AZ51" i="2"/>
  <c r="P63" i="2"/>
  <c r="J52" i="2"/>
  <c r="BF63" i="2"/>
  <c r="AG46" i="3"/>
  <c r="AG47" i="2"/>
  <c r="BD56" i="2"/>
  <c r="AO35" i="2"/>
  <c r="AP43" i="2"/>
  <c r="W54" i="2"/>
  <c r="L33" i="2"/>
  <c r="N42" i="2"/>
  <c r="BG56" i="2"/>
  <c r="AN45" i="2"/>
  <c r="Z58" i="2"/>
  <c r="BM56" i="2"/>
  <c r="AG51" i="2"/>
  <c r="AP53" i="2"/>
  <c r="G27" i="2"/>
  <c r="AK37" i="2"/>
  <c r="AQ53" i="2"/>
  <c r="AY18" i="2"/>
  <c r="BA30" i="2"/>
  <c r="AH44" i="2"/>
  <c r="AU65" i="2"/>
  <c r="AH25" i="3"/>
  <c r="AH25" i="2" s="1"/>
  <c r="AH26" i="2"/>
  <c r="AR36" i="2"/>
  <c r="AZ52" i="2"/>
  <c r="AV15" i="2"/>
  <c r="J31" i="2"/>
  <c r="T53" i="2"/>
  <c r="I88" i="3"/>
  <c r="I88" i="2" s="1"/>
  <c r="I89" i="2"/>
  <c r="BK67" i="3"/>
  <c r="BK67" i="2" s="1"/>
  <c r="BK68" i="2"/>
  <c r="V74" i="2"/>
  <c r="AF60" i="2"/>
  <c r="AB74" i="2"/>
  <c r="Y75" i="2"/>
  <c r="BI74" i="2"/>
  <c r="AU50" i="2"/>
  <c r="Q73" i="2"/>
  <c r="T73" i="2"/>
  <c r="AL94" i="2"/>
  <c r="H46" i="3"/>
  <c r="H47" i="2"/>
  <c r="BB54" i="2"/>
  <c r="BK95" i="2"/>
  <c r="AJ90" i="2"/>
  <c r="I28" i="2"/>
  <c r="BM37" i="2"/>
  <c r="AY21" i="2"/>
  <c r="BH45" i="2"/>
  <c r="BB40" i="2"/>
  <c r="AS31" i="2"/>
  <c r="AI13" i="2"/>
  <c r="I21" i="2"/>
  <c r="AJ30" i="2"/>
  <c r="AM54" i="2"/>
  <c r="AX33" i="2"/>
  <c r="AZ31" i="2"/>
  <c r="K30" i="2"/>
  <c r="AG39" i="2"/>
  <c r="AE6" i="2"/>
  <c r="BJ13" i="2"/>
  <c r="N21" i="2"/>
  <c r="AO30" i="2"/>
  <c r="AZ10" i="2"/>
  <c r="AS17" i="2"/>
  <c r="BF25" i="3"/>
  <c r="BF25" i="2" s="1"/>
  <c r="BF26" i="2"/>
  <c r="AY35" i="2"/>
  <c r="AL4" i="3"/>
  <c r="AL4" i="2" s="1"/>
  <c r="AL5" i="2"/>
  <c r="X12" i="2"/>
  <c r="BE19" i="2"/>
  <c r="AW28" i="2"/>
  <c r="T38" i="2"/>
  <c r="BB6" i="2"/>
  <c r="BM13" i="2"/>
  <c r="AQ21" i="2"/>
  <c r="BG31" i="2"/>
  <c r="AN58" i="2"/>
  <c r="BF55" i="2"/>
  <c r="AH71" i="2"/>
  <c r="Z45" i="2"/>
  <c r="AV56" i="2"/>
  <c r="AH78" i="2"/>
  <c r="N49" i="2"/>
  <c r="AZ59" i="2"/>
  <c r="I40" i="2"/>
  <c r="AD50" i="2"/>
  <c r="BH60" i="2"/>
  <c r="Z37" i="2"/>
  <c r="BA46" i="3"/>
  <c r="BA47" i="2"/>
  <c r="AY56" i="2"/>
  <c r="BK40" i="2"/>
  <c r="T51" i="2"/>
  <c r="H62" i="2"/>
  <c r="AQ34" i="2"/>
  <c r="BF42" i="2"/>
  <c r="I52" i="2"/>
  <c r="BD63" i="2"/>
  <c r="AL52" i="2"/>
  <c r="AD64" i="2"/>
  <c r="BE46" i="3"/>
  <c r="BE47" i="2"/>
  <c r="X57" i="2"/>
  <c r="P36" i="2"/>
  <c r="AA44" i="2"/>
  <c r="BC54" i="2"/>
  <c r="AF33" i="2"/>
  <c r="AL42" i="2"/>
  <c r="Z57" i="2"/>
  <c r="BL45" i="2"/>
  <c r="AG60" i="2"/>
  <c r="AB57" i="2"/>
  <c r="BG51" i="2"/>
  <c r="AD54" i="2"/>
  <c r="AP28" i="2"/>
  <c r="BF37" i="2"/>
  <c r="AI54" i="2"/>
  <c r="AO20" i="2"/>
  <c r="H31" i="2"/>
  <c r="BF44" i="2"/>
  <c r="AM66" i="2"/>
  <c r="BB25" i="3"/>
  <c r="BB25" i="2" s="1"/>
  <c r="BB26" i="2"/>
  <c r="AM38" i="2"/>
  <c r="O53" i="2"/>
  <c r="W16" i="2"/>
  <c r="AX31" i="2"/>
  <c r="AT53" i="2"/>
  <c r="AS75" i="2"/>
  <c r="AT69" i="2"/>
  <c r="L77" i="2"/>
  <c r="AZ60" i="2"/>
  <c r="BG74" i="2"/>
  <c r="O78" i="2"/>
  <c r="BA77" i="2"/>
  <c r="BE52" i="2"/>
  <c r="BG76" i="2"/>
  <c r="Z78" i="2"/>
  <c r="Y39" i="2"/>
  <c r="AQ48" i="2"/>
  <c r="AH58" i="2"/>
  <c r="AV86" i="2"/>
  <c r="BJ81" i="2"/>
  <c r="F38" i="2"/>
  <c r="F120" i="2"/>
  <c r="F98" i="2"/>
  <c r="F91" i="2"/>
  <c r="F13" i="2"/>
  <c r="F62" i="2"/>
  <c r="AA9" i="2"/>
  <c r="K8" i="2"/>
  <c r="L17" i="2"/>
  <c r="Q12" i="2"/>
  <c r="AP10" i="2"/>
  <c r="BK18" i="2"/>
  <c r="M7" i="2"/>
  <c r="X16" i="2"/>
  <c r="AA6" i="2"/>
  <c r="Z15" i="2"/>
  <c r="BL14" i="2"/>
  <c r="AC6" i="2"/>
  <c r="AI18" i="2"/>
  <c r="BF6" i="2"/>
  <c r="N20" i="2"/>
  <c r="AC8" i="2"/>
  <c r="BF23" i="2"/>
  <c r="AJ14" i="2"/>
  <c r="Z4" i="3"/>
  <c r="Z4" i="2" s="1"/>
  <c r="Z5" i="2"/>
  <c r="AI15" i="2"/>
  <c r="AY4" i="3"/>
  <c r="AY4" i="2" s="1"/>
  <c r="AY5" i="2"/>
  <c r="G14" i="2"/>
  <c r="AU12" i="2"/>
  <c r="BJ27" i="2"/>
  <c r="BL10" i="2"/>
  <c r="BH21" i="2"/>
  <c r="K17" i="2"/>
  <c r="AW39" i="2"/>
  <c r="L21" i="2"/>
  <c r="AB9" i="2"/>
  <c r="W19" i="2"/>
  <c r="N8" i="2"/>
  <c r="S18" i="2"/>
  <c r="BG7" i="2"/>
  <c r="BG17" i="2"/>
  <c r="W6" i="2"/>
  <c r="U15" i="2"/>
  <c r="AB12" i="2"/>
  <c r="AC24" i="2"/>
  <c r="AC41" i="2"/>
  <c r="O24" i="2"/>
  <c r="AI33" i="2"/>
  <c r="Q20" i="2"/>
  <c r="BM29" i="2"/>
  <c r="AL40" i="2"/>
  <c r="Q25" i="3"/>
  <c r="Q25" i="2" s="1"/>
  <c r="Q26" i="2"/>
  <c r="BJ34" i="2"/>
  <c r="AQ72" i="2"/>
  <c r="AO19" i="2"/>
  <c r="BD28" i="2"/>
  <c r="AI38" i="2"/>
  <c r="AG28" i="2"/>
  <c r="AJ38" i="2"/>
  <c r="AZ13" i="2"/>
  <c r="I22" i="2"/>
  <c r="AP31" i="2"/>
  <c r="AC30" i="2"/>
  <c r="BM45" i="2"/>
  <c r="AJ28" i="2"/>
  <c r="BG41" i="2"/>
  <c r="AD32" i="2"/>
  <c r="AV66" i="2"/>
  <c r="BD13" i="2"/>
  <c r="AF21" i="2"/>
  <c r="BH30" i="2"/>
  <c r="G57" i="2"/>
  <c r="K34" i="2"/>
  <c r="H32" i="2"/>
  <c r="AM30" i="2"/>
  <c r="M40" i="2"/>
  <c r="AY6" i="2"/>
  <c r="R14" i="2"/>
  <c r="AN21" i="2"/>
  <c r="Z31" i="2"/>
  <c r="G11" i="2"/>
  <c r="Z18" i="2"/>
  <c r="Q27" i="2"/>
  <c r="J36" i="2"/>
  <c r="BF4" i="3"/>
  <c r="BF4" i="2" s="1"/>
  <c r="BF5" i="2"/>
  <c r="AS12" i="2"/>
  <c r="L20" i="2"/>
  <c r="H29" i="2"/>
  <c r="BL38" i="2"/>
  <c r="I7" i="2"/>
  <c r="U14" i="2"/>
  <c r="X22" i="2"/>
  <c r="O32" i="2"/>
  <c r="Y61" i="2"/>
  <c r="P56" i="2"/>
  <c r="AS72" i="2"/>
  <c r="AX45" i="2"/>
  <c r="K57" i="2"/>
  <c r="W39" i="2"/>
  <c r="AQ49" i="2"/>
  <c r="R60" i="2"/>
  <c r="AG40" i="2"/>
  <c r="BG50" i="2"/>
  <c r="AI61" i="2"/>
  <c r="AT37" i="2"/>
  <c r="H48" i="2"/>
  <c r="T57" i="2"/>
  <c r="V41" i="2"/>
  <c r="AY51" i="2"/>
  <c r="AV62" i="2"/>
  <c r="BK34" i="2"/>
  <c r="O43" i="2"/>
  <c r="AJ52" i="2"/>
  <c r="AC64" i="2"/>
  <c r="AC53" i="2"/>
  <c r="S65" i="2"/>
  <c r="L48" i="2"/>
  <c r="U58" i="2"/>
  <c r="AJ36" i="2"/>
  <c r="AY44" i="2"/>
  <c r="O55" i="2"/>
  <c r="AZ33" i="2"/>
  <c r="AQ43" i="2"/>
  <c r="BJ57" i="2"/>
  <c r="L46" i="3"/>
  <c r="L47" i="2"/>
  <c r="BG62" i="2"/>
  <c r="BL57" i="2"/>
  <c r="AC54" i="2"/>
  <c r="BH54" i="2"/>
  <c r="BJ28" i="2"/>
  <c r="AK38" i="2"/>
  <c r="BI54" i="2"/>
  <c r="BI20" i="2"/>
  <c r="AV31" i="2"/>
  <c r="U45" i="2"/>
  <c r="X67" i="3"/>
  <c r="X67" i="2" s="1"/>
  <c r="X68" i="2"/>
  <c r="I27" i="2"/>
  <c r="AA40" i="2"/>
  <c r="AK54" i="2"/>
  <c r="BK16" i="2"/>
  <c r="BH33" i="2"/>
  <c r="H54" i="2"/>
  <c r="AJ78" i="2"/>
  <c r="W72" i="2"/>
  <c r="J79" i="2"/>
  <c r="AA61" i="2"/>
  <c r="AY77" i="2"/>
  <c r="AH80" i="2"/>
  <c r="BH79" i="2"/>
  <c r="G54" i="2"/>
  <c r="BC78" i="2"/>
  <c r="O81" i="2"/>
  <c r="AD42" i="2"/>
  <c r="AG50" i="2"/>
  <c r="AW59" i="2"/>
  <c r="AR103" i="2"/>
  <c r="BF86" i="2"/>
  <c r="F27" i="2"/>
  <c r="F40" i="2"/>
  <c r="F58" i="2"/>
  <c r="F80" i="2"/>
  <c r="F50" i="2"/>
  <c r="F115" i="2"/>
  <c r="BA9" i="2"/>
  <c r="AU18" i="2"/>
  <c r="AJ19" i="2"/>
  <c r="AL7" i="2"/>
  <c r="BE16" i="2"/>
  <c r="BC6" i="2"/>
  <c r="BF15" i="2"/>
  <c r="AC15" i="2"/>
  <c r="BE6" i="2"/>
  <c r="AP19" i="2"/>
  <c r="Q7" i="2"/>
  <c r="AR21" i="2"/>
  <c r="BB8" i="2"/>
  <c r="AY24" i="2"/>
  <c r="AH15" i="2"/>
  <c r="AX4" i="3"/>
  <c r="AX4" i="2" s="1"/>
  <c r="AX5" i="2"/>
  <c r="AH16" i="2"/>
  <c r="J6" i="2"/>
  <c r="AL14" i="2"/>
  <c r="I13" i="2"/>
  <c r="P30" i="2"/>
  <c r="Y11" i="2"/>
  <c r="AN22" i="2"/>
  <c r="AW17" i="2"/>
  <c r="AF11" i="2"/>
  <c r="AQ22" i="2"/>
  <c r="BB9" i="2"/>
  <c r="BM19" i="2"/>
  <c r="AN8" i="2"/>
  <c r="BE18" i="2"/>
  <c r="O8" i="2"/>
  <c r="U18" i="2"/>
  <c r="AU6" i="2"/>
  <c r="BA15" i="2"/>
  <c r="BG12" i="2"/>
  <c r="J25" i="3"/>
  <c r="J25" i="2" s="1"/>
  <c r="J26" i="2"/>
  <c r="W42" i="2"/>
  <c r="AM24" i="2"/>
  <c r="BM33" i="2"/>
  <c r="AN20" i="2"/>
  <c r="X30" i="2"/>
  <c r="AE41" i="2"/>
  <c r="AO25" i="3"/>
  <c r="AO25" i="2" s="1"/>
  <c r="AO26" i="2"/>
  <c r="Z35" i="2"/>
  <c r="J12" i="2"/>
  <c r="BL19" i="2"/>
  <c r="O29" i="2"/>
  <c r="I39" i="2"/>
  <c r="BE28" i="2"/>
  <c r="L39" i="2"/>
  <c r="H14" i="2"/>
  <c r="AI22" i="2"/>
  <c r="AA32" i="2"/>
  <c r="BE30" i="2"/>
  <c r="M46" i="3"/>
  <c r="M47" i="2"/>
  <c r="BH28" i="2"/>
  <c r="BG42" i="2"/>
  <c r="BD32" i="2"/>
  <c r="U7" i="2"/>
  <c r="L14" i="2"/>
  <c r="BC21" i="2"/>
  <c r="U31" i="2"/>
  <c r="Y25" i="3"/>
  <c r="Y25" i="2" s="1"/>
  <c r="Y26" i="2"/>
  <c r="AR34" i="2"/>
  <c r="AH32" i="2"/>
  <c r="BL30" i="2"/>
  <c r="BI46" i="3"/>
  <c r="BI47" i="2"/>
  <c r="Z7" i="2"/>
  <c r="AM14" i="2"/>
  <c r="BK21" i="2"/>
  <c r="BC31" i="2"/>
  <c r="AA11" i="2"/>
  <c r="AW18" i="2"/>
  <c r="AO27" i="2"/>
  <c r="AT36" i="2"/>
  <c r="M6" i="2"/>
  <c r="V13" i="2"/>
  <c r="AI20" i="2"/>
  <c r="AF29" i="2"/>
  <c r="AM39" i="2"/>
  <c r="AC7" i="2"/>
  <c r="AP14" i="2"/>
  <c r="AU22" i="2"/>
  <c r="AN32" i="2"/>
  <c r="Y45" i="2"/>
  <c r="AU56" i="2"/>
  <c r="AB81" i="2"/>
  <c r="V46" i="3"/>
  <c r="V47" i="2"/>
  <c r="J58" i="2"/>
  <c r="AY39" i="2"/>
  <c r="AC50" i="2"/>
  <c r="BF60" i="2"/>
  <c r="BE40" i="2"/>
  <c r="R51" i="2"/>
  <c r="AO62" i="2"/>
  <c r="X38" i="2"/>
  <c r="AF48" i="2"/>
  <c r="AV57" i="2"/>
  <c r="AT41" i="2"/>
  <c r="H52" i="2"/>
  <c r="O63" i="2"/>
  <c r="R35" i="2"/>
  <c r="AM43" i="2"/>
  <c r="AB53" i="2"/>
  <c r="Q65" i="2"/>
  <c r="BI53" i="2"/>
  <c r="J66" i="2"/>
  <c r="BH48" i="2"/>
  <c r="BF58" i="2"/>
  <c r="BD36" i="2"/>
  <c r="J45" i="2"/>
  <c r="AQ55" i="2"/>
  <c r="G34" i="2"/>
  <c r="AM45" i="2"/>
  <c r="W58" i="2"/>
  <c r="AJ46" i="3"/>
  <c r="AJ47" i="2"/>
  <c r="AE63" i="2"/>
  <c r="AB58" i="2"/>
  <c r="H56" i="2"/>
  <c r="U55" i="2"/>
  <c r="Q29" i="2"/>
  <c r="BG38" i="2"/>
  <c r="W55" i="2"/>
  <c r="P21" i="2"/>
  <c r="W32" i="2"/>
  <c r="AS45" i="2"/>
  <c r="P69" i="2"/>
  <c r="AC27" i="2"/>
  <c r="AY40" i="2"/>
  <c r="AO57" i="2"/>
  <c r="AL17" i="2"/>
  <c r="J35" i="2"/>
  <c r="AL54" i="2"/>
  <c r="AQ79" i="2"/>
  <c r="U74" i="2"/>
  <c r="AT79" i="2"/>
  <c r="AU61" i="2"/>
  <c r="AU81" i="2"/>
  <c r="X83" i="2"/>
  <c r="AQ82" i="2"/>
  <c r="V55" i="2"/>
  <c r="M81" i="2"/>
  <c r="AK94" i="2"/>
  <c r="BM43" i="2"/>
  <c r="M54" i="2"/>
  <c r="BG61" i="2"/>
  <c r="AU67" i="3"/>
  <c r="AU67" i="2" s="1"/>
  <c r="AU68" i="2"/>
  <c r="AR124" i="2"/>
  <c r="F55" i="2"/>
  <c r="F103" i="2"/>
  <c r="F42" i="2"/>
  <c r="F64" i="2"/>
  <c r="F126" i="2"/>
  <c r="F116" i="2"/>
  <c r="AT4" i="3"/>
  <c r="AT4" i="2" s="1"/>
  <c r="AT5" i="2"/>
  <c r="BJ19" i="2"/>
  <c r="Y7" i="2"/>
  <c r="V4" i="3"/>
  <c r="V4" i="2" s="1"/>
  <c r="V5" i="2"/>
  <c r="BA20" i="2"/>
  <c r="BL7" i="2"/>
  <c r="AB17" i="2"/>
  <c r="N7" i="2"/>
  <c r="Y16" i="2"/>
  <c r="U4" i="3"/>
  <c r="U4" i="2" s="1"/>
  <c r="U5" i="2"/>
  <c r="BK15" i="2"/>
  <c r="P7" i="2"/>
  <c r="I20" i="2"/>
  <c r="AQ7" i="2"/>
  <c r="T22" i="2"/>
  <c r="O9" i="2"/>
  <c r="AS25" i="3"/>
  <c r="AS25" i="2" s="1"/>
  <c r="AS26" i="2"/>
  <c r="AG16" i="2"/>
  <c r="I6" i="2"/>
  <c r="AO17" i="2"/>
  <c r="AL6" i="2"/>
  <c r="AJ15" i="2"/>
  <c r="AB4" i="3"/>
  <c r="AB4" i="2" s="1"/>
  <c r="AB5" i="2"/>
  <c r="AN13" i="2"/>
  <c r="BM61" i="2"/>
  <c r="BC11" i="2"/>
  <c r="Q23" i="2"/>
  <c r="J18" i="2"/>
  <c r="BG11" i="2"/>
  <c r="V23" i="2"/>
  <c r="R10" i="2"/>
  <c r="AL20" i="2"/>
  <c r="AC9" i="2"/>
  <c r="Y19" i="2"/>
  <c r="AS8" i="2"/>
  <c r="BF18" i="2"/>
  <c r="J7" i="2"/>
  <c r="R16" i="2"/>
  <c r="M4" i="3"/>
  <c r="M4" i="2" s="1"/>
  <c r="M5" i="2"/>
  <c r="Y13" i="2"/>
  <c r="O27" i="2"/>
  <c r="V43" i="2"/>
  <c r="K25" i="3"/>
  <c r="K25" i="2" s="1"/>
  <c r="K26" i="2"/>
  <c r="AB34" i="2"/>
  <c r="X21" i="2"/>
  <c r="AV30" i="2"/>
  <c r="AI42" i="2"/>
  <c r="BM25" i="3"/>
  <c r="BM25" i="2" s="1"/>
  <c r="BM26" i="2"/>
  <c r="BH35" i="2"/>
  <c r="AE12" i="2"/>
  <c r="S20" i="2"/>
  <c r="AQ29" i="2"/>
  <c r="BI39" i="2"/>
  <c r="P29" i="2"/>
  <c r="BJ39" i="2"/>
  <c r="AC14" i="2"/>
  <c r="BF22" i="2"/>
  <c r="AZ32" i="2"/>
  <c r="Q31" i="2"/>
  <c r="AS19" i="2"/>
  <c r="W29" i="2"/>
  <c r="BD43" i="2"/>
  <c r="U33" i="2"/>
  <c r="AO7" i="2"/>
  <c r="AH14" i="2"/>
  <c r="P22" i="2"/>
  <c r="AT31" i="2"/>
  <c r="AW25" i="3"/>
  <c r="AW25" i="2" s="1"/>
  <c r="AW26" i="2"/>
  <c r="AN35" i="2"/>
  <c r="BG32" i="2"/>
  <c r="X31" i="2"/>
  <c r="BM49" i="2"/>
  <c r="AT7" i="2"/>
  <c r="BH14" i="2"/>
  <c r="U22" i="2"/>
  <c r="K32" i="2"/>
  <c r="Q4" i="3"/>
  <c r="Q4" i="2" s="1"/>
  <c r="Q5" i="2"/>
  <c r="AU11" i="2"/>
  <c r="J19" i="2"/>
  <c r="BM27" i="2"/>
  <c r="M37" i="2"/>
  <c r="AG6" i="2"/>
  <c r="AQ13" i="2"/>
  <c r="BF20" i="2"/>
  <c r="BD29" i="2"/>
  <c r="W40" i="2"/>
  <c r="AW7" i="2"/>
  <c r="BK14" i="2"/>
  <c r="AF23" i="2"/>
  <c r="AE33" i="2"/>
  <c r="AW45" i="2"/>
  <c r="H57" i="2"/>
  <c r="BH92" i="2"/>
  <c r="AC48" i="2"/>
  <c r="AP58" i="2"/>
  <c r="H40" i="2"/>
  <c r="BF50" i="2"/>
  <c r="AG61" i="2"/>
  <c r="T41" i="2"/>
  <c r="AS51" i="2"/>
  <c r="M63" i="2"/>
  <c r="AT38" i="2"/>
  <c r="BD48" i="2"/>
  <c r="Q58" i="2"/>
  <c r="AG42" i="2"/>
  <c r="AH52" i="2"/>
  <c r="BC63" i="2"/>
  <c r="AL35" i="2"/>
  <c r="BK43" i="2"/>
  <c r="BH53" i="2"/>
  <c r="BH67" i="3"/>
  <c r="BH67" i="2" s="1"/>
  <c r="BH68" i="2"/>
  <c r="U54" i="2"/>
  <c r="AZ69" i="2"/>
  <c r="X49" i="2"/>
  <c r="W59" i="2"/>
  <c r="K37" i="2"/>
  <c r="AL45" i="2"/>
  <c r="AD56" i="2"/>
  <c r="AA34" i="2"/>
  <c r="BK45" i="2"/>
  <c r="BH58" i="2"/>
  <c r="BH46" i="3"/>
  <c r="BH47" i="2"/>
  <c r="AP64" i="2"/>
  <c r="BJ58" i="2"/>
  <c r="AH56" i="2"/>
  <c r="AZ55" i="2"/>
  <c r="AK29" i="2"/>
  <c r="H41" i="2"/>
  <c r="BA55" i="2"/>
  <c r="AJ21" i="2"/>
  <c r="BF33" i="2"/>
  <c r="Q46" i="3"/>
  <c r="Q47" i="2"/>
  <c r="N70" i="2"/>
  <c r="AW27" i="2"/>
  <c r="J41" i="2"/>
  <c r="AV60" i="2"/>
  <c r="AB19" i="2"/>
  <c r="AD35" i="2"/>
  <c r="M56" i="2"/>
  <c r="BG80" i="2"/>
  <c r="AZ74" i="2"/>
  <c r="BM80" i="2"/>
  <c r="BE63" i="2"/>
  <c r="AZ85" i="2"/>
  <c r="BJ84" i="2"/>
  <c r="Z83" i="2"/>
  <c r="AP55" i="2"/>
  <c r="BL81" i="2"/>
  <c r="BG40" i="2"/>
  <c r="BC45" i="2"/>
  <c r="AB55" i="2"/>
  <c r="O69" i="2"/>
  <c r="AP77" i="2"/>
  <c r="Z113" i="2"/>
  <c r="F104" i="2"/>
  <c r="F118" i="2"/>
  <c r="F112" i="2"/>
  <c r="F28" i="2"/>
  <c r="F51" i="2"/>
  <c r="F81" i="2"/>
  <c r="BH6" i="2"/>
  <c r="AV8" i="2"/>
  <c r="Y6" i="2"/>
  <c r="AE4" i="3"/>
  <c r="AE4" i="2" s="1"/>
  <c r="AE5" i="2"/>
  <c r="AE21" i="2"/>
  <c r="T8" i="2"/>
  <c r="BL17" i="2"/>
  <c r="AM7" i="2"/>
  <c r="BF16" i="2"/>
  <c r="AS4" i="3"/>
  <c r="AS4" i="2" s="1"/>
  <c r="AS5" i="2"/>
  <c r="AA16" i="2"/>
  <c r="AP7" i="2"/>
  <c r="BL20" i="2"/>
  <c r="AB8" i="2"/>
  <c r="BE23" i="2"/>
  <c r="AR9" i="2"/>
  <c r="AR27" i="2"/>
  <c r="AN17" i="2"/>
  <c r="AK6" i="2"/>
  <c r="AO18" i="2"/>
  <c r="BJ6" i="2"/>
  <c r="AI16" i="2"/>
  <c r="AZ4" i="3"/>
  <c r="AZ4" i="2" s="1"/>
  <c r="AZ5" i="2"/>
  <c r="I14" i="2"/>
  <c r="N12" i="2"/>
  <c r="BM24" i="2"/>
  <c r="AT18" i="2"/>
  <c r="R12" i="2"/>
  <c r="H24" i="2"/>
  <c r="AQ10" i="2"/>
  <c r="M21" i="2"/>
  <c r="BC9" i="2"/>
  <c r="AT20" i="2"/>
  <c r="AD9" i="2"/>
  <c r="AC19" i="2"/>
  <c r="AI7" i="2"/>
  <c r="BA16" i="2"/>
  <c r="AO4" i="3"/>
  <c r="AO4" i="2" s="1"/>
  <c r="AO5" i="2"/>
  <c r="BC13" i="2"/>
  <c r="Q28" i="2"/>
  <c r="Y44" i="2"/>
  <c r="AM25" i="3"/>
  <c r="AM25" i="2" s="1"/>
  <c r="AM26" i="2"/>
  <c r="BG34" i="2"/>
  <c r="AU21" i="2"/>
  <c r="L31" i="2"/>
  <c r="AF43" i="2"/>
  <c r="X27" i="2"/>
  <c r="U36" i="2"/>
  <c r="AZ12" i="2"/>
  <c r="AS20" i="2"/>
  <c r="Z30" i="2"/>
  <c r="AT40" i="2"/>
  <c r="AR29" i="2"/>
  <c r="AU40" i="2"/>
  <c r="AX14" i="2"/>
  <c r="P23" i="2"/>
  <c r="N33" i="2"/>
  <c r="AQ31" i="2"/>
  <c r="Z20" i="2"/>
  <c r="AU29" i="2"/>
  <c r="BC44" i="2"/>
  <c r="AU33" i="2"/>
  <c r="BI7" i="2"/>
  <c r="BC14" i="2"/>
  <c r="AM22" i="2"/>
  <c r="AE32" i="2"/>
  <c r="L27" i="2"/>
  <c r="AI36" i="2"/>
  <c r="X33" i="2"/>
  <c r="BA31" i="2"/>
  <c r="H36" i="2"/>
  <c r="U8" i="2"/>
  <c r="P15" i="2"/>
  <c r="AR22" i="2"/>
  <c r="AK32" i="2"/>
  <c r="AK4" i="3"/>
  <c r="AK4" i="2" s="1"/>
  <c r="AK5" i="2"/>
  <c r="V12" i="2"/>
  <c r="AG19" i="2"/>
  <c r="T28" i="2"/>
  <c r="AW37" i="2"/>
  <c r="BA6" i="2"/>
  <c r="BL13" i="2"/>
  <c r="S21" i="2"/>
  <c r="S30" i="2"/>
  <c r="L41" i="2"/>
  <c r="X8" i="2"/>
  <c r="S15" i="2"/>
  <c r="BD23" i="2"/>
  <c r="BJ33" i="2"/>
  <c r="U46" i="3"/>
  <c r="U47" i="2"/>
  <c r="AR57" i="2"/>
  <c r="AQ38" i="2"/>
  <c r="BA48" i="2"/>
  <c r="L59" i="2"/>
  <c r="AF40" i="2"/>
  <c r="Q51" i="2"/>
  <c r="AN62" i="2"/>
  <c r="AR41" i="2"/>
  <c r="AF52" i="2"/>
  <c r="BA63" i="2"/>
  <c r="AC39" i="2"/>
  <c r="T49" i="2"/>
  <c r="AX58" i="2"/>
  <c r="BE42" i="2"/>
  <c r="AA53" i="2"/>
  <c r="AB64" i="2"/>
  <c r="BF35" i="2"/>
  <c r="X44" i="2"/>
  <c r="T54" i="2"/>
  <c r="AS69" i="2"/>
  <c r="M55" i="2"/>
  <c r="AY70" i="2"/>
  <c r="AW49" i="2"/>
  <c r="BK59" i="2"/>
  <c r="AE37" i="2"/>
  <c r="BJ45" i="2"/>
  <c r="BF56" i="2"/>
  <c r="AU34" i="2"/>
  <c r="K46" i="3"/>
  <c r="K47" i="2"/>
  <c r="AD59" i="2"/>
  <c r="O48" i="2"/>
  <c r="AA65" i="2"/>
  <c r="AF59" i="2"/>
  <c r="AE57" i="2"/>
  <c r="I56" i="2"/>
  <c r="BE29" i="2"/>
  <c r="AQ42" i="2"/>
  <c r="J56" i="2"/>
  <c r="BD21" i="2"/>
  <c r="H35" i="2"/>
  <c r="BM46" i="3"/>
  <c r="BM47" i="2"/>
  <c r="I71" i="2"/>
  <c r="X28" i="2"/>
  <c r="AL41" i="2"/>
  <c r="W61" i="2"/>
  <c r="BK20" i="2"/>
  <c r="AX35" i="2"/>
  <c r="AP57" i="2"/>
  <c r="AE81" i="2"/>
  <c r="AW75" i="2"/>
  <c r="AR81" i="2"/>
  <c r="BB65" i="2"/>
  <c r="BD86" i="2"/>
  <c r="BH51" i="2"/>
  <c r="AT58" i="2"/>
  <c r="AF57" i="2"/>
  <c r="AH57" i="2"/>
  <c r="I42" i="2"/>
  <c r="L50" i="2"/>
  <c r="AL57" i="2"/>
  <c r="AZ80" i="2"/>
  <c r="W92" i="2"/>
  <c r="AA125" i="2"/>
  <c r="F52" i="2"/>
  <c r="F75" i="2"/>
  <c r="F59" i="2"/>
  <c r="F101" i="2"/>
  <c r="F34" i="2"/>
  <c r="F66" i="2"/>
  <c r="AH9" i="2"/>
  <c r="BH4" i="3"/>
  <c r="BH4" i="2" s="1"/>
  <c r="BH5" i="2"/>
  <c r="AX17" i="2"/>
  <c r="BC7" i="2"/>
  <c r="AP6" i="2"/>
  <c r="J22" i="2"/>
  <c r="AW8" i="2"/>
  <c r="AC18" i="2"/>
  <c r="BM7" i="2"/>
  <c r="AC17" i="2"/>
  <c r="AB6" i="2"/>
  <c r="BG16" i="2"/>
  <c r="AA8" i="2"/>
  <c r="AM21" i="2"/>
  <c r="BA8" i="2"/>
  <c r="AW24" i="2"/>
  <c r="AD10" i="2"/>
  <c r="AT28" i="2"/>
  <c r="AN18" i="2"/>
  <c r="BI6" i="2"/>
  <c r="M19" i="2"/>
  <c r="V7" i="2"/>
  <c r="AP17" i="2"/>
  <c r="O6" i="2"/>
  <c r="AQ14" i="2"/>
  <c r="AV12" i="2"/>
  <c r="BJ25" i="3"/>
  <c r="BJ25" i="2" s="1"/>
  <c r="BJ26" i="2"/>
  <c r="S19" i="2"/>
  <c r="AY12" i="2"/>
  <c r="AS30" i="2"/>
  <c r="AG11" i="2"/>
  <c r="AV22" i="2"/>
  <c r="S10" i="2"/>
  <c r="U21" i="2"/>
  <c r="BH9" i="2"/>
  <c r="AV20" i="2"/>
  <c r="BH7" i="2"/>
  <c r="Y17" i="2"/>
  <c r="BM4" i="3"/>
  <c r="BM4" i="2" s="1"/>
  <c r="BM5" i="2"/>
  <c r="X14" i="2"/>
  <c r="AH29" i="2"/>
  <c r="X45" i="2"/>
  <c r="BK25" i="3"/>
  <c r="BK25" i="2" s="1"/>
  <c r="BK26" i="2"/>
  <c r="X35" i="2"/>
  <c r="AB22" i="2"/>
  <c r="AK31" i="2"/>
  <c r="AE44" i="2"/>
  <c r="AZ27" i="2"/>
  <c r="BC36" i="2"/>
  <c r="H13" i="2"/>
  <c r="Z21" i="2"/>
  <c r="AX30" i="2"/>
  <c r="AO41" i="2"/>
  <c r="AA30" i="2"/>
  <c r="AV41" i="2"/>
  <c r="AA15" i="2"/>
  <c r="AN23" i="2"/>
  <c r="AR33" i="2"/>
  <c r="AB32" i="2"/>
  <c r="AW20" i="2"/>
  <c r="AD30" i="2"/>
  <c r="O46" i="3"/>
  <c r="O47" i="2"/>
  <c r="I34" i="2"/>
  <c r="P8" i="2"/>
  <c r="K15" i="2"/>
  <c r="BJ22" i="2"/>
  <c r="BE32" i="2"/>
  <c r="AJ27" i="2"/>
  <c r="AO37" i="2"/>
  <c r="AY33" i="2"/>
  <c r="I32" i="2"/>
  <c r="AN36" i="2"/>
  <c r="AO8" i="2"/>
  <c r="AK15" i="2"/>
  <c r="AC23" i="2"/>
  <c r="AA33" i="2"/>
  <c r="BE4" i="3"/>
  <c r="BE4" i="2" s="1"/>
  <c r="BE5" i="2"/>
  <c r="AR12" i="2"/>
  <c r="BD19" i="2"/>
  <c r="AV28" i="2"/>
  <c r="S38" i="2"/>
  <c r="H7" i="2"/>
  <c r="T14" i="2"/>
  <c r="AP21" i="2"/>
  <c r="AQ30" i="2"/>
  <c r="P42" i="2"/>
  <c r="AR8" i="2"/>
  <c r="AN15" i="2"/>
  <c r="L24" i="2"/>
  <c r="X34" i="2"/>
  <c r="AS46" i="3"/>
  <c r="AS47" i="2"/>
  <c r="AO58" i="2"/>
  <c r="BM38" i="2"/>
  <c r="M49" i="2"/>
  <c r="AY59" i="2"/>
  <c r="BD40" i="2"/>
  <c r="AR51" i="2"/>
  <c r="L63" i="2"/>
  <c r="AA42" i="2"/>
  <c r="BH52" i="2"/>
  <c r="Z64" i="2"/>
  <c r="BA39" i="2"/>
  <c r="AS49" i="2"/>
  <c r="O59" i="2"/>
  <c r="N43" i="2"/>
  <c r="BC53" i="2"/>
  <c r="L65" i="2"/>
  <c r="M36" i="2"/>
  <c r="AV44" i="2"/>
  <c r="AV54" i="2"/>
  <c r="BI71" i="2"/>
  <c r="AM55" i="2"/>
  <c r="BJ71" i="2"/>
  <c r="J50" i="2"/>
  <c r="AC60" i="2"/>
  <c r="AY37" i="2"/>
  <c r="J46" i="3"/>
  <c r="J47" i="2"/>
  <c r="Y57" i="2"/>
  <c r="V35" i="2"/>
  <c r="AI46" i="3"/>
  <c r="AI47" i="2"/>
  <c r="AE60" i="2"/>
  <c r="AM48" i="2"/>
  <c r="Y66" i="2"/>
  <c r="AL60" i="2"/>
  <c r="BM57" i="2"/>
  <c r="AJ56" i="2"/>
  <c r="L30" i="2"/>
  <c r="AB43" i="2"/>
  <c r="AI57" i="2"/>
  <c r="K22" i="2"/>
  <c r="AB35" i="2"/>
  <c r="V50" i="2"/>
  <c r="U72" i="2"/>
  <c r="AR28" i="2"/>
  <c r="BJ41" i="2"/>
  <c r="BK61" i="2"/>
  <c r="R21" i="2"/>
  <c r="Y36" i="2"/>
  <c r="BL61" i="2"/>
  <c r="AC85" i="2"/>
  <c r="K76" i="2"/>
  <c r="AP88" i="3"/>
  <c r="AP88" i="2" s="1"/>
  <c r="AP89" i="2"/>
  <c r="R67" i="3"/>
  <c r="R67" i="2" s="1"/>
  <c r="R68" i="2"/>
  <c r="AH93" i="2"/>
  <c r="AX53" i="2"/>
  <c r="BD60" i="2"/>
  <c r="AP59" i="2"/>
  <c r="AR59" i="2"/>
  <c r="S44" i="2"/>
  <c r="AA51" i="2"/>
  <c r="R61" i="2"/>
  <c r="AW84" i="2"/>
  <c r="BA71" i="2"/>
  <c r="V116" i="2"/>
  <c r="F10" i="2"/>
  <c r="F4" i="3"/>
  <c r="F4" i="2" s="1"/>
  <c r="F5" i="2"/>
  <c r="F84" i="2"/>
  <c r="F92" i="2"/>
  <c r="F25" i="3"/>
  <c r="F25" i="2" s="1"/>
  <c r="F26" i="2"/>
  <c r="F9" i="2"/>
  <c r="M13" i="2"/>
  <c r="L8" i="2"/>
  <c r="AN10" i="2"/>
  <c r="Y9" i="2"/>
  <c r="BK22" i="2"/>
  <c r="I9" i="2"/>
  <c r="BL18" i="2"/>
  <c r="Y8" i="2"/>
  <c r="BM17" i="2"/>
  <c r="BD6" i="2"/>
  <c r="AE17" i="2"/>
  <c r="AZ8" i="2"/>
  <c r="S22" i="2"/>
  <c r="N9" i="2"/>
  <c r="AL25" i="3"/>
  <c r="AL25" i="2" s="1"/>
  <c r="AL26" i="2"/>
  <c r="BG10" i="2"/>
  <c r="BB31" i="2"/>
  <c r="AY19" i="2"/>
  <c r="T7" i="2"/>
  <c r="AZ19" i="2"/>
  <c r="AY7" i="2"/>
  <c r="G18" i="2"/>
  <c r="AM6" i="2"/>
  <c r="G15" i="2"/>
  <c r="K13" i="2"/>
  <c r="BK27" i="2"/>
  <c r="BH19" i="2"/>
  <c r="O13" i="2"/>
  <c r="J32" i="2"/>
  <c r="BH11" i="2"/>
  <c r="W23" i="2"/>
  <c r="AR10" i="2"/>
  <c r="AW22" i="2"/>
  <c r="T10" i="2"/>
  <c r="V21" i="2"/>
  <c r="Q8" i="2"/>
  <c r="BH17" i="2"/>
  <c r="X6" i="2"/>
  <c r="BD14" i="2"/>
  <c r="AT32" i="2"/>
  <c r="R48" i="2"/>
  <c r="V27" i="2"/>
  <c r="BE35" i="2"/>
  <c r="BB22" i="2"/>
  <c r="BK31" i="2"/>
  <c r="AO45" i="2"/>
  <c r="G28" i="2"/>
  <c r="X37" i="2"/>
  <c r="AC13" i="2"/>
  <c r="AW21" i="2"/>
  <c r="N31" i="2"/>
  <c r="AO42" i="2"/>
  <c r="AY30" i="2"/>
  <c r="AP42" i="2"/>
  <c r="AX15" i="2"/>
  <c r="BL23" i="2"/>
  <c r="AK34" i="2"/>
  <c r="BB32" i="2"/>
  <c r="G21" i="2"/>
  <c r="BF30" i="2"/>
  <c r="N51" i="2"/>
  <c r="AN34" i="2"/>
  <c r="AJ8" i="2"/>
  <c r="AF15" i="2"/>
  <c r="T23" i="2"/>
  <c r="V33" i="2"/>
  <c r="BH27" i="2"/>
  <c r="AZ38" i="2"/>
  <c r="P34" i="2"/>
  <c r="AI32" i="2"/>
  <c r="I37" i="2"/>
  <c r="BI8" i="2"/>
  <c r="BG15" i="2"/>
  <c r="BA23" i="2"/>
  <c r="BC33" i="2"/>
  <c r="L6" i="2"/>
  <c r="BM12" i="2"/>
  <c r="K20" i="2"/>
  <c r="G29" i="2"/>
  <c r="BK38" i="2"/>
  <c r="AB7" i="2"/>
  <c r="AO14" i="2"/>
  <c r="BM21" i="2"/>
  <c r="AF31" i="2"/>
  <c r="I43" i="2"/>
  <c r="BL8" i="2"/>
  <c r="BJ15" i="2"/>
  <c r="AJ24" i="2"/>
  <c r="BD34" i="2"/>
  <c r="AZ48" i="2"/>
  <c r="K59" i="2"/>
  <c r="V39" i="2"/>
  <c r="AP49" i="2"/>
  <c r="M60" i="2"/>
  <c r="S41" i="2"/>
  <c r="AE52" i="2"/>
  <c r="AZ63" i="2"/>
  <c r="BC42" i="2"/>
  <c r="Y53" i="2"/>
  <c r="BJ66" i="2"/>
  <c r="J40" i="2"/>
  <c r="AI50" i="2"/>
  <c r="BB59" i="2"/>
  <c r="AL43" i="2"/>
  <c r="S54" i="2"/>
  <c r="BG67" i="3"/>
  <c r="BG67" i="2" s="1"/>
  <c r="BG68" i="2"/>
  <c r="AG36" i="2"/>
  <c r="G45" i="2"/>
  <c r="AL55" i="2"/>
  <c r="J82" i="2"/>
  <c r="AB56" i="2"/>
  <c r="AL79" i="2"/>
  <c r="AM50" i="2"/>
  <c r="AR61" i="2"/>
  <c r="G38" i="2"/>
  <c r="AH46" i="3"/>
  <c r="AH47" i="2"/>
  <c r="BI57" i="2"/>
  <c r="Q36" i="2"/>
  <c r="BG46" i="3"/>
  <c r="BG47" i="2"/>
  <c r="AT61" i="2"/>
  <c r="Q50" i="2"/>
  <c r="I67" i="3"/>
  <c r="I67" i="2" s="1"/>
  <c r="I68" i="2"/>
  <c r="M61" i="2"/>
  <c r="AD58" i="2"/>
  <c r="AG57" i="2"/>
  <c r="AF30" i="2"/>
  <c r="AZ43" i="2"/>
  <c r="AJ58" i="2"/>
  <c r="AE22" i="2"/>
  <c r="AV35" i="2"/>
  <c r="BL51" i="2"/>
  <c r="AJ87" i="2"/>
  <c r="BL28" i="2"/>
  <c r="U42" i="2"/>
  <c r="AI62" i="2"/>
  <c r="AL21" i="2"/>
  <c r="AS36" i="2"/>
  <c r="BK64" i="2"/>
  <c r="AT87" i="2"/>
  <c r="G78" i="2"/>
  <c r="BA65" i="2"/>
  <c r="AP67" i="3"/>
  <c r="AP67" i="2" s="1"/>
  <c r="AP68" i="2"/>
  <c r="AT106" i="2"/>
  <c r="T55" i="2"/>
  <c r="Z62" i="2"/>
  <c r="BE60" i="2"/>
  <c r="BG60" i="2"/>
  <c r="BI48" i="2"/>
  <c r="AK53" i="2"/>
  <c r="AG62" i="2"/>
  <c r="O97" i="2"/>
  <c r="BG84" i="2"/>
  <c r="T120" i="2"/>
  <c r="F85" i="2"/>
  <c r="F109" i="3"/>
  <c r="F109" i="2" s="1"/>
  <c r="F110" i="2"/>
  <c r="F54" i="2"/>
  <c r="F74" i="2"/>
  <c r="F31" i="2"/>
  <c r="F22" i="2"/>
  <c r="BK9" i="2"/>
  <c r="H6" i="2"/>
  <c r="AX12" i="2"/>
  <c r="AW10" i="2"/>
  <c r="AQ23" i="2"/>
  <c r="AI9" i="2"/>
  <c r="AK19" i="2"/>
  <c r="AX8" i="2"/>
  <c r="AD18" i="2"/>
  <c r="O7" i="2"/>
  <c r="AH18" i="2"/>
  <c r="M9" i="2"/>
  <c r="AZ23" i="2"/>
  <c r="AQ9" i="2"/>
  <c r="AM27" i="2"/>
  <c r="S11" i="2"/>
  <c r="Z33" i="2"/>
  <c r="T20" i="2"/>
  <c r="AX7" i="2"/>
  <c r="Y20" i="2"/>
  <c r="G8" i="2"/>
  <c r="AP18" i="2"/>
  <c r="BK6" i="2"/>
  <c r="AO15" i="2"/>
  <c r="AC4" i="3"/>
  <c r="AC4" i="2" s="1"/>
  <c r="AC5" i="2"/>
  <c r="AS13" i="2"/>
  <c r="U30" i="2"/>
  <c r="AE20" i="2"/>
  <c r="AV13" i="2"/>
  <c r="AW36" i="2"/>
  <c r="S12" i="2"/>
  <c r="M24" i="2"/>
  <c r="AH11" i="2"/>
  <c r="X23" i="2"/>
  <c r="AS10" i="2"/>
  <c r="BE22" i="2"/>
  <c r="AT8" i="2"/>
  <c r="V18" i="2"/>
  <c r="AV6" i="2"/>
  <c r="V15" i="2"/>
  <c r="AC40" i="2"/>
  <c r="Y50" i="2"/>
  <c r="AT27" i="2"/>
  <c r="S36" i="2"/>
  <c r="L23" i="2"/>
  <c r="S32" i="2"/>
  <c r="AT48" i="2"/>
  <c r="AE28" i="2"/>
  <c r="BK37" i="2"/>
  <c r="AX13" i="2"/>
  <c r="G22" i="2"/>
  <c r="AN31" i="2"/>
  <c r="AN43" i="2"/>
  <c r="O31" i="2"/>
  <c r="AW43" i="2"/>
  <c r="AB16" i="2"/>
  <c r="X24" i="2"/>
  <c r="AG35" i="2"/>
  <c r="O33" i="2"/>
  <c r="AD21" i="2"/>
  <c r="S31" i="2"/>
  <c r="W25" i="3"/>
  <c r="W25" i="2" s="1"/>
  <c r="W26" i="2"/>
  <c r="AK35" i="2"/>
  <c r="BD8" i="2"/>
  <c r="BB15" i="2"/>
  <c r="AR23" i="2"/>
  <c r="AW33" i="2"/>
  <c r="O28" i="2"/>
  <c r="AD39" i="2"/>
  <c r="AS34" i="2"/>
  <c r="BH32" i="2"/>
  <c r="AR37" i="2"/>
  <c r="P9" i="2"/>
  <c r="N16" i="2"/>
  <c r="I24" i="2"/>
  <c r="S34" i="2"/>
  <c r="AF6" i="2"/>
  <c r="U13" i="2"/>
  <c r="AH20" i="2"/>
  <c r="AE29" i="2"/>
  <c r="AL39" i="2"/>
  <c r="AV7" i="2"/>
  <c r="BJ14" i="2"/>
  <c r="W22" i="2"/>
  <c r="BE31" i="2"/>
  <c r="H44" i="2"/>
  <c r="S9" i="2"/>
  <c r="Q16" i="2"/>
  <c r="BL24" i="2"/>
  <c r="BA35" i="2"/>
  <c r="K49" i="2"/>
  <c r="AX59" i="2"/>
  <c r="AX39" i="2"/>
  <c r="AB50" i="2"/>
  <c r="BA60" i="2"/>
  <c r="AQ41" i="2"/>
  <c r="BG52" i="2"/>
  <c r="U64" i="2"/>
  <c r="L43" i="2"/>
  <c r="BA53" i="2"/>
  <c r="AX67" i="3"/>
  <c r="AX67" i="2" s="1"/>
  <c r="AX68" i="2"/>
  <c r="AH40" i="2"/>
  <c r="BH50" i="2"/>
  <c r="Y60" i="2"/>
  <c r="BJ43" i="2"/>
  <c r="AT54" i="2"/>
  <c r="AR69" i="2"/>
  <c r="BA36" i="2"/>
  <c r="BG45" i="2"/>
  <c r="AA56" i="2"/>
  <c r="AF46" i="3"/>
  <c r="AF47" i="2"/>
  <c r="BB56" i="2"/>
  <c r="Y41" i="2"/>
  <c r="BL50" i="2"/>
  <c r="P62" i="2"/>
  <c r="AE38" i="2"/>
  <c r="BF46" i="3"/>
  <c r="BF47" i="2"/>
  <c r="V58" i="2"/>
  <c r="AF37" i="2"/>
  <c r="N48" i="2"/>
  <c r="R62" i="2"/>
  <c r="N52" i="2"/>
  <c r="P48" i="2"/>
  <c r="T62" i="2"/>
  <c r="BK58" i="2"/>
  <c r="BH61" i="2"/>
  <c r="AZ30" i="2"/>
  <c r="I44" i="2"/>
  <c r="AB62" i="2"/>
  <c r="AY22" i="2"/>
  <c r="W36" i="2"/>
  <c r="Y52" i="2"/>
  <c r="AK17" i="2"/>
  <c r="S29" i="2"/>
  <c r="AS42" i="2"/>
  <c r="AL63" i="2"/>
  <c r="BF21" i="2"/>
  <c r="BI37" i="2"/>
  <c r="AX65" i="2"/>
  <c r="AT72" i="2"/>
  <c r="I79" i="2"/>
  <c r="Q67" i="3"/>
  <c r="Q67" i="2" s="1"/>
  <c r="Q68" i="2"/>
  <c r="AY69" i="2"/>
  <c r="BL58" i="2"/>
  <c r="O56" i="2"/>
  <c r="AO63" i="2"/>
  <c r="AZ61" i="2"/>
  <c r="BB61" i="2"/>
  <c r="K50" i="2"/>
  <c r="BJ56" i="2"/>
  <c r="AS64" i="2"/>
  <c r="G90" i="2"/>
  <c r="H91" i="2"/>
  <c r="X119" i="2"/>
  <c r="V66" i="2"/>
  <c r="AH77" i="2"/>
  <c r="R83" i="2"/>
  <c r="AO94" i="2"/>
  <c r="Y87" i="2"/>
  <c r="T76" i="2"/>
  <c r="Y84" i="2"/>
  <c r="J95" i="2"/>
  <c r="BD77" i="2"/>
  <c r="T86" i="2"/>
  <c r="H99" i="2"/>
  <c r="AC84" i="2"/>
  <c r="AU94" i="2"/>
  <c r="AQ76" i="2"/>
  <c r="AT83" i="2"/>
  <c r="AX94" i="2"/>
  <c r="AU93" i="2"/>
  <c r="M85" i="2"/>
  <c r="AU96" i="2"/>
  <c r="AM100" i="2"/>
  <c r="G76" i="2"/>
  <c r="AX86" i="2"/>
  <c r="AL70" i="2"/>
  <c r="AB83" i="2"/>
  <c r="Y127" i="2"/>
  <c r="AE92" i="2"/>
  <c r="AA93" i="2"/>
  <c r="W78" i="2"/>
  <c r="S75" i="2"/>
  <c r="AR121" i="2"/>
  <c r="G92" i="2"/>
  <c r="Q106" i="2"/>
  <c r="T100" i="2"/>
  <c r="BB118" i="2"/>
  <c r="H97" i="2"/>
  <c r="BE100" i="2"/>
  <c r="BB82" i="2"/>
  <c r="AE109" i="3"/>
  <c r="AE109" i="2" s="1"/>
  <c r="AE110" i="2"/>
  <c r="H80" i="2"/>
  <c r="BK112" i="2"/>
  <c r="U126" i="2"/>
  <c r="P128" i="2"/>
  <c r="AG115" i="2"/>
  <c r="AR129" i="2"/>
  <c r="S128" i="2"/>
  <c r="AY81" i="2"/>
  <c r="AN55" i="2"/>
  <c r="Y62" i="2"/>
  <c r="AI70" i="2"/>
  <c r="AI80" i="2"/>
  <c r="AT62" i="2"/>
  <c r="W71" i="2"/>
  <c r="AS82" i="2"/>
  <c r="AA54" i="2"/>
  <c r="L61" i="2"/>
  <c r="AF69" i="2"/>
  <c r="BB78" i="2"/>
  <c r="W79" i="2"/>
  <c r="N61" i="2"/>
  <c r="I69" i="2"/>
  <c r="V78" i="2"/>
  <c r="BG78" i="2"/>
  <c r="N41" i="2"/>
  <c r="P49" i="2"/>
  <c r="AO56" i="2"/>
  <c r="AT63" i="2"/>
  <c r="AM72" i="2"/>
  <c r="J87" i="2"/>
  <c r="AX42" i="2"/>
  <c r="AF50" i="2"/>
  <c r="Q57" i="2"/>
  <c r="W64" i="2"/>
  <c r="AZ73" i="2"/>
  <c r="N97" i="2"/>
  <c r="AB46" i="3"/>
  <c r="AB47" i="2"/>
  <c r="AG54" i="2"/>
  <c r="AL61" i="2"/>
  <c r="AU70" i="2"/>
  <c r="AG84" i="2"/>
  <c r="AU43" i="2"/>
  <c r="AW51" i="2"/>
  <c r="BB58" i="2"/>
  <c r="AS66" i="2"/>
  <c r="AF78" i="2"/>
  <c r="AO83" i="2"/>
  <c r="G95" i="2"/>
  <c r="AY87" i="2"/>
  <c r="AN76" i="2"/>
  <c r="AY84" i="2"/>
  <c r="BD95" i="2"/>
  <c r="K78" i="2"/>
  <c r="AA87" i="2"/>
  <c r="H100" i="2"/>
  <c r="BA84" i="2"/>
  <c r="O95" i="2"/>
  <c r="BK76" i="2"/>
  <c r="AD84" i="2"/>
  <c r="S95" i="2"/>
  <c r="M94" i="2"/>
  <c r="AK85" i="2"/>
  <c r="AL97" i="2"/>
  <c r="AQ105" i="2"/>
  <c r="AA76" i="2"/>
  <c r="AK87" i="2"/>
  <c r="BF70" i="2"/>
  <c r="BB83" i="2"/>
  <c r="BF88" i="3"/>
  <c r="BF88" i="2" s="1"/>
  <c r="BF89" i="2"/>
  <c r="AE95" i="2"/>
  <c r="AX98" i="2"/>
  <c r="AQ78" i="2"/>
  <c r="BG75" i="2"/>
  <c r="M64" i="2"/>
  <c r="V101" i="2"/>
  <c r="H112" i="2"/>
  <c r="AY104" i="2"/>
  <c r="AM101" i="2"/>
  <c r="N101" i="2"/>
  <c r="BM105" i="2"/>
  <c r="N86" i="2"/>
  <c r="AX122" i="2"/>
  <c r="AG83" i="2"/>
  <c r="AT113" i="2"/>
  <c r="AZ103" i="2"/>
  <c r="AU112" i="2"/>
  <c r="AD124" i="2"/>
  <c r="BA111" i="2"/>
  <c r="I123" i="2"/>
  <c r="BF80" i="2"/>
  <c r="Q80" i="2"/>
  <c r="AU75" i="2"/>
  <c r="AC65" i="2"/>
  <c r="Q75" i="2"/>
  <c r="AH88" i="3"/>
  <c r="AH88" i="2" s="1"/>
  <c r="AH89" i="2"/>
  <c r="O71" i="2"/>
  <c r="W80" i="2"/>
  <c r="BM67" i="3"/>
  <c r="BM67" i="2" s="1"/>
  <c r="BM68" i="2"/>
  <c r="AT77" i="2"/>
  <c r="G61" i="2"/>
  <c r="Y69" i="2"/>
  <c r="L78" i="2"/>
  <c r="AK73" i="2"/>
  <c r="AT91" i="2"/>
  <c r="BL62" i="2"/>
  <c r="U71" i="2"/>
  <c r="AG82" i="2"/>
  <c r="BH55" i="2"/>
  <c r="AS62" i="2"/>
  <c r="BI70" i="2"/>
  <c r="AZ81" i="2"/>
  <c r="U63" i="2"/>
  <c r="AU71" i="2"/>
  <c r="AD83" i="2"/>
  <c r="AU54" i="2"/>
  <c r="AF61" i="2"/>
  <c r="BD69" i="2"/>
  <c r="V79" i="2"/>
  <c r="AN80" i="2"/>
  <c r="AH61" i="2"/>
  <c r="AH69" i="2"/>
  <c r="BD78" i="2"/>
  <c r="AC79" i="2"/>
  <c r="AH41" i="2"/>
  <c r="AJ49" i="2"/>
  <c r="BI56" i="2"/>
  <c r="V64" i="2"/>
  <c r="BK72" i="2"/>
  <c r="AW90" i="2"/>
  <c r="Y43" i="2"/>
  <c r="AZ50" i="2"/>
  <c r="AK57" i="2"/>
  <c r="BM64" i="2"/>
  <c r="J74" i="2"/>
  <c r="Z39" i="2"/>
  <c r="AV46" i="3"/>
  <c r="AV47" i="2"/>
  <c r="BA54" i="2"/>
  <c r="BF61" i="2"/>
  <c r="AD71" i="2"/>
  <c r="Q85" i="2"/>
  <c r="V44" i="2"/>
  <c r="X52" i="2"/>
  <c r="I59" i="2"/>
  <c r="AF67" i="3"/>
  <c r="AF67" i="2" s="1"/>
  <c r="AF68" i="2"/>
  <c r="AK79" i="2"/>
  <c r="BL83" i="2"/>
  <c r="AW95" i="2"/>
  <c r="R88" i="3"/>
  <c r="R88" i="2" s="1"/>
  <c r="R89" i="2"/>
  <c r="BH76" i="2"/>
  <c r="H85" i="2"/>
  <c r="AI96" i="2"/>
  <c r="AY78" i="2"/>
  <c r="BC87" i="2"/>
  <c r="BD101" i="2"/>
  <c r="J85" i="2"/>
  <c r="BI95" i="2"/>
  <c r="R77" i="2"/>
  <c r="BB84" i="2"/>
  <c r="BJ95" i="2"/>
  <c r="AY94" i="2"/>
  <c r="BM85" i="2"/>
  <c r="AA98" i="2"/>
  <c r="O117" i="2"/>
  <c r="AU76" i="2"/>
  <c r="AD88" i="3"/>
  <c r="AD88" i="2" s="1"/>
  <c r="AD89" i="2"/>
  <c r="M71" i="2"/>
  <c r="K84" i="2"/>
  <c r="V90" i="2"/>
  <c r="BI96" i="2"/>
  <c r="BC99" i="2"/>
  <c r="BK78" i="2"/>
  <c r="AH76" i="2"/>
  <c r="BK66" i="2"/>
  <c r="AZ102" i="2"/>
  <c r="BI113" i="2"/>
  <c r="AY109" i="3"/>
  <c r="AY109" i="2" s="1"/>
  <c r="AY110" i="2"/>
  <c r="W105" i="2"/>
  <c r="BI104" i="2"/>
  <c r="AK112" i="2"/>
  <c r="AO88" i="3"/>
  <c r="AO88" i="2" s="1"/>
  <c r="AO89" i="2"/>
  <c r="AU80" i="2"/>
  <c r="BK85" i="2"/>
  <c r="BK118" i="2"/>
  <c r="AC104" i="2"/>
  <c r="BF113" i="2"/>
  <c r="AO126" i="2"/>
  <c r="AD112" i="2"/>
  <c r="AY123" i="2"/>
  <c r="AP80" i="2"/>
  <c r="BB41" i="2"/>
  <c r="BD49" i="2"/>
  <c r="P57" i="2"/>
  <c r="AQ64" i="2"/>
  <c r="U73" i="2"/>
  <c r="K92" i="2"/>
  <c r="AS43" i="2"/>
  <c r="G51" i="2"/>
  <c r="L58" i="2"/>
  <c r="U65" i="2"/>
  <c r="AO74" i="2"/>
  <c r="AT39" i="2"/>
  <c r="W48" i="2"/>
  <c r="H55" i="2"/>
  <c r="M62" i="2"/>
  <c r="BD71" i="2"/>
  <c r="L86" i="2"/>
  <c r="AP44" i="2"/>
  <c r="AR52" i="2"/>
  <c r="AC59" i="2"/>
  <c r="BF67" i="3"/>
  <c r="BF67" i="2" s="1"/>
  <c r="BF68" i="2"/>
  <c r="L80" i="2"/>
  <c r="U84" i="2"/>
  <c r="Z96" i="2"/>
  <c r="AU88" i="3"/>
  <c r="AU88" i="2" s="1"/>
  <c r="AU89" i="2"/>
  <c r="O77" i="2"/>
  <c r="AF85" i="2"/>
  <c r="I98" i="2"/>
  <c r="Z79" i="2"/>
  <c r="V88" i="3"/>
  <c r="V88" i="2" s="1"/>
  <c r="V89" i="2"/>
  <c r="I103" i="2"/>
  <c r="AH85" i="2"/>
  <c r="AM96" i="2"/>
  <c r="AL77" i="2"/>
  <c r="K85" i="2"/>
  <c r="AN96" i="2"/>
  <c r="T95" i="2"/>
  <c r="X86" i="2"/>
  <c r="AH100" i="2"/>
  <c r="AA67" i="3"/>
  <c r="AA67" i="2" s="1"/>
  <c r="AA68" i="2"/>
  <c r="V77" i="2"/>
  <c r="BK91" i="2"/>
  <c r="AG71" i="2"/>
  <c r="AI84" i="2"/>
  <c r="AU90" i="2"/>
  <c r="BA97" i="2"/>
  <c r="AO102" i="2"/>
  <c r="R79" i="2"/>
  <c r="AR78" i="2"/>
  <c r="AI67" i="3"/>
  <c r="AI67" i="2" s="1"/>
  <c r="AI68" i="2"/>
  <c r="N106" i="2"/>
  <c r="AK115" i="2"/>
  <c r="AE111" i="2"/>
  <c r="BG105" i="2"/>
  <c r="Y105" i="2"/>
  <c r="Y113" i="2"/>
  <c r="BI88" i="3"/>
  <c r="BI88" i="2" s="1"/>
  <c r="BI89" i="2"/>
  <c r="V81" i="2"/>
  <c r="R86" i="2"/>
  <c r="BE122" i="2"/>
  <c r="S112" i="2"/>
  <c r="T124" i="2"/>
  <c r="AI115" i="2"/>
  <c r="AJ119" i="2"/>
  <c r="AN129" i="2"/>
  <c r="O30" i="2"/>
  <c r="BM36" i="2"/>
  <c r="BL44" i="2"/>
  <c r="BL54" i="2"/>
  <c r="X70" i="2"/>
  <c r="BE83" i="2"/>
  <c r="T82" i="2"/>
  <c r="G77" i="2"/>
  <c r="AX66" i="2"/>
  <c r="AS76" i="2"/>
  <c r="AS113" i="2"/>
  <c r="X72" i="2"/>
  <c r="Z82" i="2"/>
  <c r="G70" i="2"/>
  <c r="K79" i="2"/>
  <c r="V62" i="2"/>
  <c r="AF70" i="2"/>
  <c r="BC79" i="2"/>
  <c r="X75" i="2"/>
  <c r="I57" i="2"/>
  <c r="BG63" i="2"/>
  <c r="BD72" i="2"/>
  <c r="BA85" i="2"/>
  <c r="BC56" i="2"/>
  <c r="AN63" i="2"/>
  <c r="AE72" i="2"/>
  <c r="I84" i="2"/>
  <c r="Q64" i="2"/>
  <c r="O73" i="2"/>
  <c r="L49" i="2"/>
  <c r="BJ55" i="2"/>
  <c r="AA62" i="2"/>
  <c r="BL70" i="2"/>
  <c r="H81" i="2"/>
  <c r="AW82" i="2"/>
  <c r="AC62" i="2"/>
  <c r="AO70" i="2"/>
  <c r="N81" i="2"/>
  <c r="AY82" i="2"/>
  <c r="AC42" i="2"/>
  <c r="AE50" i="2"/>
  <c r="BD57" i="2"/>
  <c r="T65" i="2"/>
  <c r="I74" i="2"/>
  <c r="AU104" i="2"/>
  <c r="T44" i="2"/>
  <c r="AU51" i="2"/>
  <c r="AZ58" i="2"/>
  <c r="BL65" i="2"/>
  <c r="AK75" i="2"/>
  <c r="AO40" i="2"/>
  <c r="BK48" i="2"/>
  <c r="AV55" i="2"/>
  <c r="BA62" i="2"/>
  <c r="AO72" i="2"/>
  <c r="BF90" i="2"/>
  <c r="Q45" i="2"/>
  <c r="S53" i="2"/>
  <c r="X60" i="2"/>
  <c r="AM69" i="2"/>
  <c r="X81" i="2"/>
  <c r="AD85" i="2"/>
  <c r="AG101" i="2"/>
  <c r="AG90" i="2"/>
  <c r="J78" i="2"/>
  <c r="AQ86" i="2"/>
  <c r="BC101" i="2"/>
  <c r="AE80" i="2"/>
  <c r="I90" i="2"/>
  <c r="V119" i="2"/>
  <c r="U86" i="2"/>
  <c r="R98" i="2"/>
  <c r="M78" i="2"/>
  <c r="BI85" i="2"/>
  <c r="U98" i="2"/>
  <c r="AP96" i="2"/>
  <c r="G87" i="2"/>
  <c r="P105" i="2"/>
  <c r="V69" i="2"/>
  <c r="BJ77" i="2"/>
  <c r="BC92" i="2"/>
  <c r="AB72" i="2"/>
  <c r="P85" i="2"/>
  <c r="AL91" i="2"/>
  <c r="AW99" i="2"/>
  <c r="AM109" i="3"/>
  <c r="AM109" i="2" s="1"/>
  <c r="AM110" i="2"/>
  <c r="AZ82" i="2"/>
  <c r="S79" i="2"/>
  <c r="BM70" i="2"/>
  <c r="AO100" i="2"/>
  <c r="AL115" i="2"/>
  <c r="H94" i="2"/>
  <c r="AW117" i="2"/>
  <c r="BL115" i="2"/>
  <c r="M86" i="2"/>
  <c r="P94" i="2"/>
  <c r="V85" i="2"/>
  <c r="O91" i="2"/>
  <c r="AC108" i="2"/>
  <c r="BM121" i="2"/>
  <c r="AA117" i="2"/>
  <c r="AQ125" i="2"/>
  <c r="H128" i="2"/>
  <c r="AG125" i="2"/>
  <c r="AI30" i="2"/>
  <c r="T37" i="2"/>
  <c r="W45" i="2"/>
  <c r="AD55" i="2"/>
  <c r="Y71" i="2"/>
  <c r="AL84" i="2"/>
  <c r="BF83" i="2"/>
  <c r="AO77" i="2"/>
  <c r="N67" i="3"/>
  <c r="N67" i="2" s="1"/>
  <c r="N68" i="2"/>
  <c r="K77" i="2"/>
  <c r="J64" i="2"/>
  <c r="AX72" i="2"/>
  <c r="H83" i="2"/>
  <c r="AE70" i="2"/>
  <c r="BB79" i="2"/>
  <c r="AP62" i="2"/>
  <c r="BD70" i="2"/>
  <c r="Z80" i="2"/>
  <c r="BC75" i="2"/>
  <c r="AC57" i="2"/>
  <c r="O64" i="2"/>
  <c r="M73" i="2"/>
  <c r="BK86" i="2"/>
  <c r="J57" i="2"/>
  <c r="BH63" i="2"/>
  <c r="BE72" i="2"/>
  <c r="BM84" i="2"/>
  <c r="AL64" i="2"/>
  <c r="AO73" i="2"/>
  <c r="AF49" i="2"/>
  <c r="Q56" i="2"/>
  <c r="AU62" i="2"/>
  <c r="X71" i="2"/>
  <c r="BH81" i="2"/>
  <c r="AH83" i="2"/>
  <c r="AW62" i="2"/>
  <c r="Z71" i="2"/>
  <c r="AX82" i="2"/>
  <c r="AM83" i="2"/>
  <c r="AW42" i="2"/>
  <c r="AY50" i="2"/>
  <c r="K58" i="2"/>
  <c r="AO65" i="2"/>
  <c r="AN74" i="2"/>
  <c r="BC37" i="2"/>
  <c r="AN44" i="2"/>
  <c r="V52" i="2"/>
  <c r="G59" i="2"/>
  <c r="S66" i="2"/>
  <c r="AF76" i="2"/>
  <c r="BI40" i="2"/>
  <c r="R49" i="2"/>
  <c r="W56" i="2"/>
  <c r="H63" i="2"/>
  <c r="BM72" i="2"/>
  <c r="AL92" i="2"/>
  <c r="AK45" i="2"/>
  <c r="AM53" i="2"/>
  <c r="AR60" i="2"/>
  <c r="BM69" i="2"/>
  <c r="I82" i="2"/>
  <c r="BB85" i="2"/>
  <c r="AU106" i="2"/>
  <c r="W91" i="2"/>
  <c r="AD78" i="2"/>
  <c r="Z87" i="2"/>
  <c r="R111" i="2"/>
  <c r="BB80" i="2"/>
  <c r="AK90" i="2"/>
  <c r="AK129" i="2"/>
  <c r="AS86" i="2"/>
  <c r="M99" i="2"/>
  <c r="AG78" i="2"/>
  <c r="V86" i="2"/>
  <c r="X99" i="2"/>
  <c r="AK97" i="2"/>
  <c r="AI87" i="2"/>
  <c r="R107" i="2"/>
  <c r="AP69" i="2"/>
  <c r="AK78" i="2"/>
  <c r="P93" i="2"/>
  <c r="AV72" i="2"/>
  <c r="AR85" i="2"/>
  <c r="BM91" i="2"/>
  <c r="R102" i="2"/>
  <c r="AE115" i="2"/>
  <c r="AJ83" i="2"/>
  <c r="AO79" i="2"/>
  <c r="T71" i="2"/>
  <c r="M104" i="2"/>
  <c r="X95" i="2"/>
  <c r="Z97" i="2"/>
  <c r="AX95" i="2"/>
  <c r="AC128" i="2"/>
  <c r="AN88" i="3"/>
  <c r="AN88" i="2" s="1"/>
  <c r="AN89" i="2"/>
  <c r="AG96" i="2"/>
  <c r="AF87" i="2"/>
  <c r="AS93" i="2"/>
  <c r="BL112" i="2"/>
  <c r="AO123" i="2"/>
  <c r="S118" i="2"/>
  <c r="AV126" i="2"/>
  <c r="BK128" i="2"/>
  <c r="I126" i="2"/>
  <c r="AQ16" i="2"/>
  <c r="H23" i="2"/>
  <c r="BC30" i="2"/>
  <c r="AN37" i="2"/>
  <c r="AU45" i="2"/>
  <c r="BD55" i="2"/>
  <c r="AL72" i="2"/>
  <c r="AB85" i="2"/>
  <c r="AM84" i="2"/>
  <c r="AM78" i="2"/>
  <c r="AM67" i="3"/>
  <c r="AM67" i="2" s="1"/>
  <c r="AM68" i="2"/>
  <c r="AR77" i="2"/>
  <c r="AE64" i="2"/>
  <c r="G73" i="2"/>
  <c r="BC84" i="2"/>
  <c r="BC70" i="2"/>
  <c r="Y80" i="2"/>
  <c r="BJ62" i="2"/>
  <c r="Q71" i="2"/>
  <c r="AT81" i="2"/>
  <c r="R76" i="2"/>
  <c r="AW57" i="2"/>
  <c r="AJ64" i="2"/>
  <c r="AM73" i="2"/>
  <c r="AV91" i="2"/>
  <c r="AD57" i="2"/>
  <c r="P64" i="2"/>
  <c r="N73" i="2"/>
  <c r="BL85" i="2"/>
  <c r="BG64" i="2"/>
  <c r="AF74" i="2"/>
  <c r="AZ49" i="2"/>
  <c r="AK56" i="2"/>
  <c r="V63" i="2"/>
  <c r="AV71" i="2"/>
  <c r="AV82" i="2"/>
  <c r="N84" i="2"/>
  <c r="X63" i="2"/>
  <c r="AX71" i="2"/>
  <c r="AI83" i="2"/>
  <c r="S84" i="2"/>
  <c r="X43" i="2"/>
  <c r="Z51" i="2"/>
  <c r="AE58" i="2"/>
  <c r="BK65" i="2"/>
  <c r="AJ75" i="2"/>
  <c r="J38" i="2"/>
  <c r="BH44" i="2"/>
  <c r="AP52" i="2"/>
  <c r="AA59" i="2"/>
  <c r="AP66" i="2"/>
  <c r="AF77" i="2"/>
  <c r="P41" i="2"/>
  <c r="AL49" i="2"/>
  <c r="AQ56" i="2"/>
  <c r="AB63" i="2"/>
  <c r="Y73" i="2"/>
  <c r="AB101" i="2"/>
  <c r="BE45" i="2"/>
  <c r="BG53" i="2"/>
  <c r="BL60" i="2"/>
  <c r="V70" i="2"/>
  <c r="BC83" i="2"/>
  <c r="O86" i="2"/>
  <c r="BJ113" i="2"/>
  <c r="AZ91" i="2"/>
  <c r="AX78" i="2"/>
  <c r="BB87" i="2"/>
  <c r="U116" i="2"/>
  <c r="J81" i="2"/>
  <c r="BL90" i="2"/>
  <c r="G79" i="2"/>
  <c r="AD87" i="2"/>
  <c r="M100" i="2"/>
  <c r="BA78" i="2"/>
  <c r="AT86" i="2"/>
  <c r="N100" i="2"/>
  <c r="W98" i="2"/>
  <c r="BG87" i="2"/>
  <c r="BH87" i="2"/>
  <c r="BJ69" i="2"/>
  <c r="BE78" i="2"/>
  <c r="AY93" i="2"/>
  <c r="AQ73" i="2"/>
  <c r="AL87" i="2"/>
  <c r="BB93" i="2"/>
  <c r="BM94" i="2"/>
  <c r="AO66" i="2"/>
  <c r="H86" i="2"/>
  <c r="BL79" i="2"/>
  <c r="AN71" i="2"/>
  <c r="AS104" i="2"/>
  <c r="AS95" i="2"/>
  <c r="AY97" i="2"/>
  <c r="AA96" i="2"/>
  <c r="H96" i="2"/>
  <c r="BH88" i="3"/>
  <c r="BH88" i="2" s="1"/>
  <c r="BH89" i="2"/>
  <c r="BC96" i="2"/>
  <c r="AZ87" i="2"/>
  <c r="BM93" i="2"/>
  <c r="AU113" i="2"/>
  <c r="BC98" i="2"/>
  <c r="AH99" i="2"/>
  <c r="AD101" i="2"/>
  <c r="AS107" i="2"/>
  <c r="L117" i="2"/>
  <c r="AZ64" i="2"/>
  <c r="AH73" i="2"/>
  <c r="AS85" i="2"/>
  <c r="P71" i="2"/>
  <c r="AS81" i="2"/>
  <c r="Q63" i="2"/>
  <c r="AQ71" i="2"/>
  <c r="AB82" i="2"/>
  <c r="AY76" i="2"/>
  <c r="X58" i="2"/>
  <c r="BE64" i="2"/>
  <c r="AC74" i="2"/>
  <c r="BD93" i="2"/>
  <c r="AX57" i="2"/>
  <c r="AK64" i="2"/>
  <c r="AN73" i="2"/>
  <c r="BL86" i="2"/>
  <c r="O65" i="2"/>
  <c r="BJ74" i="2"/>
  <c r="G50" i="2"/>
  <c r="BE56" i="2"/>
  <c r="AP63" i="2"/>
  <c r="I72" i="2"/>
  <c r="AE83" i="2"/>
  <c r="X90" i="2"/>
  <c r="AR63" i="2"/>
  <c r="K72" i="2"/>
  <c r="O84" i="2"/>
  <c r="AD90" i="2"/>
  <c r="AR43" i="2"/>
  <c r="AT51" i="2"/>
  <c r="AY58" i="2"/>
  <c r="R66" i="2"/>
  <c r="AE76" i="2"/>
  <c r="AD38" i="2"/>
  <c r="O45" i="2"/>
  <c r="BJ52" i="2"/>
  <c r="AU59" i="2"/>
  <c r="BM66" i="2"/>
  <c r="BM77" i="2"/>
  <c r="AJ41" i="2"/>
  <c r="BF49" i="2"/>
  <c r="BK56" i="2"/>
  <c r="AV63" i="2"/>
  <c r="BA73" i="2"/>
  <c r="G39" i="2"/>
  <c r="I46" i="3"/>
  <c r="I47" i="2"/>
  <c r="N54" i="2"/>
  <c r="S61" i="2"/>
  <c r="AV70" i="2"/>
  <c r="AJ84" i="2"/>
  <c r="BM86" i="2"/>
  <c r="AJ82" i="2"/>
  <c r="M92" i="2"/>
  <c r="Y79" i="2"/>
  <c r="S88" i="3"/>
  <c r="S88" i="2" s="1"/>
  <c r="S89" i="2"/>
  <c r="U119" i="2"/>
  <c r="AG81" i="2"/>
  <c r="Y91" i="2"/>
  <c r="AA79" i="2"/>
  <c r="BD87" i="2"/>
  <c r="BJ101" i="2"/>
  <c r="H79" i="2"/>
  <c r="AE87" i="2"/>
  <c r="Q103" i="2"/>
  <c r="Y99" i="2"/>
  <c r="AB88" i="3"/>
  <c r="AB88" i="2" s="1"/>
  <c r="AB89" i="2"/>
  <c r="Q90" i="2"/>
  <c r="Q70" i="2"/>
  <c r="AH79" i="2"/>
  <c r="U94" i="2"/>
  <c r="R74" i="2"/>
  <c r="BJ87" i="2"/>
  <c r="W94" i="2"/>
  <c r="AI95" i="2"/>
  <c r="BI66" i="2"/>
  <c r="AF86" i="2"/>
  <c r="N83" i="2"/>
  <c r="BH71" i="2"/>
  <c r="AS105" i="2"/>
  <c r="AQ96" i="2"/>
  <c r="AD98" i="2"/>
  <c r="AE97" i="2"/>
  <c r="AY96" i="2"/>
  <c r="AI90" i="2"/>
  <c r="AJ97" i="2"/>
  <c r="AR88" i="3"/>
  <c r="AR88" i="2" s="1"/>
  <c r="AR89" i="2"/>
  <c r="AN94" i="2"/>
  <c r="AK118" i="2"/>
  <c r="AD99" i="2"/>
  <c r="I100" i="2"/>
  <c r="Y102" i="2"/>
  <c r="T108" i="2"/>
  <c r="AZ117" i="2"/>
  <c r="BM23" i="2"/>
  <c r="AA31" i="2"/>
  <c r="O38" i="2"/>
  <c r="AN46" i="3"/>
  <c r="AN47" i="2"/>
  <c r="AL56" i="2"/>
  <c r="AO16" i="2"/>
  <c r="AT23" i="2"/>
  <c r="AB31" i="2"/>
  <c r="P38" i="2"/>
  <c r="AO46" i="3"/>
  <c r="AO47" i="2"/>
  <c r="K56" i="2"/>
  <c r="AU74" i="2"/>
  <c r="BE21" i="2"/>
  <c r="AM29" i="2"/>
  <c r="X36" i="2"/>
  <c r="K44" i="2"/>
  <c r="AS53" i="2"/>
  <c r="Z67" i="3"/>
  <c r="Z67" i="2" s="1"/>
  <c r="Z68" i="2"/>
  <c r="R17" i="2"/>
  <c r="AV23" i="2"/>
  <c r="AD31" i="2"/>
  <c r="R38" i="2"/>
  <c r="AQ46" i="3"/>
  <c r="AQ47" i="2"/>
  <c r="AS56" i="2"/>
  <c r="T72" i="2"/>
  <c r="AO87" i="2"/>
  <c r="AD86" i="2"/>
  <c r="R80" i="2"/>
  <c r="T69" i="2"/>
  <c r="AN78" i="2"/>
  <c r="I65" i="2"/>
  <c r="BI73" i="2"/>
  <c r="AU86" i="2"/>
  <c r="AP71" i="2"/>
  <c r="AA82" i="2"/>
  <c r="AK63" i="2"/>
  <c r="Z72" i="2"/>
  <c r="P83" i="2"/>
  <c r="Q77" i="2"/>
  <c r="AR58" i="2"/>
  <c r="M65" i="2"/>
  <c r="BH74" i="2"/>
  <c r="AN51" i="2"/>
  <c r="Y58" i="2"/>
  <c r="BF64" i="2"/>
  <c r="AD74" i="2"/>
  <c r="U96" i="2"/>
  <c r="AJ65" i="2"/>
  <c r="AC75" i="2"/>
  <c r="AA50" i="2"/>
  <c r="L57" i="2"/>
  <c r="BJ63" i="2"/>
  <c r="AH72" i="2"/>
  <c r="M84" i="2"/>
  <c r="N57" i="2"/>
  <c r="BL63" i="2"/>
  <c r="AK72" i="2"/>
  <c r="AC90" i="2"/>
  <c r="H92" i="2"/>
  <c r="BL43" i="2"/>
  <c r="U52" i="2"/>
  <c r="Z59" i="2"/>
  <c r="AN66" i="2"/>
  <c r="BM76" i="2"/>
  <c r="AX38" i="2"/>
  <c r="AI45" i="2"/>
  <c r="Q53" i="2"/>
  <c r="V60" i="2"/>
  <c r="AD67" i="3"/>
  <c r="AD67" i="2" s="1"/>
  <c r="AD68" i="2"/>
  <c r="AB78" i="2"/>
  <c r="BD41" i="2"/>
  <c r="M50" i="2"/>
  <c r="R57" i="2"/>
  <c r="X64" i="2"/>
  <c r="L74" i="2"/>
  <c r="AA39" i="2"/>
  <c r="AC46" i="3"/>
  <c r="AC47" i="2"/>
  <c r="AH54" i="2"/>
  <c r="AM61" i="2"/>
  <c r="G71" i="2"/>
  <c r="W86" i="2"/>
  <c r="X87" i="2"/>
  <c r="BI82" i="2"/>
  <c r="AO92" i="2"/>
  <c r="AU79" i="2"/>
  <c r="AV88" i="3"/>
  <c r="AV88" i="2" s="1"/>
  <c r="AV89" i="2"/>
  <c r="AD129" i="2"/>
  <c r="BD81" i="2"/>
  <c r="BD91" i="2"/>
  <c r="AX79" i="2"/>
  <c r="W88" i="3"/>
  <c r="W88" i="2" s="1"/>
  <c r="W89" i="2"/>
  <c r="K103" i="2"/>
  <c r="AB79" i="2"/>
  <c r="BE87" i="2"/>
  <c r="G105" i="2"/>
  <c r="R100" i="2"/>
  <c r="BA88" i="3"/>
  <c r="BA88" i="2" s="1"/>
  <c r="BA89" i="2"/>
  <c r="AG91" i="2"/>
  <c r="AK70" i="2"/>
  <c r="N80" i="2"/>
  <c r="BF94" i="2"/>
  <c r="BA75" i="2"/>
  <c r="BD88" i="3"/>
  <c r="BD88" i="2" s="1"/>
  <c r="BD89" i="2"/>
  <c r="AC95" i="2"/>
  <c r="BL96" i="2"/>
  <c r="AG67" i="3"/>
  <c r="AG67" i="2" s="1"/>
  <c r="AG68" i="2"/>
  <c r="BH86" i="2"/>
  <c r="BH83" i="2"/>
  <c r="AS74" i="2"/>
  <c r="BC113" i="2"/>
  <c r="AH101" i="2"/>
  <c r="BD102" i="2"/>
  <c r="AP101" i="2"/>
  <c r="BD100" i="2"/>
  <c r="BH93" i="2"/>
  <c r="AW101" i="2"/>
  <c r="AW92" i="2"/>
  <c r="BL97" i="2"/>
  <c r="AA122" i="2"/>
  <c r="AD105" i="2"/>
  <c r="O106" i="2"/>
  <c r="Q109" i="3"/>
  <c r="Q109" i="2" s="1"/>
  <c r="Q110" i="2"/>
  <c r="AX115" i="2"/>
  <c r="O124" i="2"/>
  <c r="BE71" i="2"/>
  <c r="W87" i="2"/>
  <c r="AX87" i="2"/>
  <c r="S83" i="2"/>
  <c r="AJ93" i="2"/>
  <c r="AD80" i="2"/>
  <c r="H90" i="2"/>
  <c r="K74" i="2"/>
  <c r="O82" i="2"/>
  <c r="O92" i="2"/>
  <c r="I80" i="2"/>
  <c r="AX88" i="3"/>
  <c r="AX88" i="2" s="1"/>
  <c r="AX89" i="2"/>
  <c r="Z111" i="2"/>
  <c r="AY79" i="2"/>
  <c r="Z88" i="3"/>
  <c r="Z88" i="2" s="1"/>
  <c r="Z89" i="2"/>
  <c r="AH87" i="2"/>
  <c r="AP103" i="2"/>
  <c r="AQ90" i="2"/>
  <c r="BI91" i="2"/>
  <c r="BE70" i="2"/>
  <c r="BM81" i="2"/>
  <c r="AA95" i="2"/>
  <c r="H76" i="2"/>
  <c r="AT90" i="2"/>
  <c r="AZ97" i="2"/>
  <c r="AU98" i="2"/>
  <c r="H69" i="2"/>
  <c r="S87" i="2"/>
  <c r="AI86" i="2"/>
  <c r="T75" i="2"/>
  <c r="AH115" i="2"/>
  <c r="AW104" i="2"/>
  <c r="W106" i="2"/>
  <c r="X105" i="2"/>
  <c r="AB104" i="2"/>
  <c r="J96" i="2"/>
  <c r="G107" i="2"/>
  <c r="P95" i="2"/>
  <c r="BL100" i="2"/>
  <c r="AE123" i="2"/>
  <c r="K106" i="2"/>
  <c r="BG106" i="2"/>
  <c r="BM109" i="3"/>
  <c r="BM109" i="2" s="1"/>
  <c r="BM110" i="2"/>
  <c r="AC116" i="2"/>
  <c r="BE124" i="2"/>
  <c r="BH38" i="2"/>
  <c r="T48" i="2"/>
  <c r="AN57" i="2"/>
  <c r="AU15" i="2"/>
  <c r="AF22" i="2"/>
  <c r="N30" i="2"/>
  <c r="BL36" i="2"/>
  <c r="BK44" i="2"/>
  <c r="BK54" i="2"/>
  <c r="P70" i="2"/>
  <c r="BF17" i="2"/>
  <c r="AQ24" i="2"/>
  <c r="Y32" i="2"/>
  <c r="BJ38" i="2"/>
  <c r="AX48" i="2"/>
  <c r="AM58" i="2"/>
  <c r="AC73" i="2"/>
  <c r="AE73" i="2"/>
  <c r="N88" i="3"/>
  <c r="N88" i="2" s="1"/>
  <c r="N89" i="2"/>
  <c r="AJ81" i="2"/>
  <c r="AC70" i="2"/>
  <c r="AS79" i="2"/>
  <c r="AZ65" i="2"/>
  <c r="BB74" i="2"/>
  <c r="S91" i="2"/>
  <c r="AY72" i="2"/>
  <c r="BE84" i="2"/>
  <c r="L64" i="2"/>
  <c r="K73" i="2"/>
  <c r="AU85" i="2"/>
  <c r="N78" i="2"/>
  <c r="S59" i="2"/>
  <c r="BD65" i="2"/>
  <c r="BD75" i="2"/>
  <c r="O52" i="2"/>
  <c r="BM58" i="2"/>
  <c r="AI65" i="2"/>
  <c r="AA75" i="2"/>
  <c r="U59" i="2"/>
  <c r="M66" i="2"/>
  <c r="X76" i="2"/>
  <c r="V51" i="2"/>
  <c r="AZ57" i="2"/>
  <c r="AM64" i="2"/>
  <c r="P73" i="2"/>
  <c r="AS73" i="2"/>
  <c r="BB57" i="2"/>
  <c r="AO64" i="2"/>
  <c r="S73" i="2"/>
  <c r="AU73" i="2"/>
  <c r="AR104" i="2"/>
  <c r="AM44" i="2"/>
  <c r="BI52" i="2"/>
  <c r="U60" i="2"/>
  <c r="AC67" i="3"/>
  <c r="AC67" i="2" s="1"/>
  <c r="AC68" i="2"/>
  <c r="BL77" i="2"/>
  <c r="AS39" i="2"/>
  <c r="G46" i="3"/>
  <c r="G47" i="2"/>
  <c r="BE53" i="2"/>
  <c r="BJ60" i="2"/>
  <c r="M69" i="2"/>
  <c r="AE79" i="2"/>
  <c r="AE42" i="2"/>
  <c r="BA50" i="2"/>
  <c r="BF57" i="2"/>
  <c r="V65" i="2"/>
  <c r="I75" i="2"/>
  <c r="V40" i="2"/>
  <c r="X48" i="2"/>
  <c r="I55" i="2"/>
  <c r="AH62" i="2"/>
  <c r="R72" i="2"/>
  <c r="AM92" i="2"/>
  <c r="P88" i="3"/>
  <c r="P88" i="2" s="1"/>
  <c r="P89" i="2"/>
  <c r="AP83" i="2"/>
  <c r="AQ94" i="2"/>
  <c r="BA80" i="2"/>
  <c r="AH90" i="2"/>
  <c r="AE74" i="2"/>
  <c r="AN82" i="2"/>
  <c r="AU92" i="2"/>
  <c r="AF80" i="2"/>
  <c r="J90" i="2"/>
  <c r="R73" i="2"/>
  <c r="J80" i="2"/>
  <c r="AY88" i="3"/>
  <c r="AY88" i="2" s="1"/>
  <c r="AY89" i="2"/>
  <c r="BF87" i="2"/>
  <c r="J105" i="2"/>
  <c r="BH91" i="2"/>
  <c r="U92" i="2"/>
  <c r="L71" i="2"/>
  <c r="W82" i="2"/>
  <c r="BD96" i="2"/>
  <c r="AB76" i="2"/>
  <c r="BA93" i="2"/>
  <c r="BI112" i="2"/>
  <c r="G86" i="2"/>
  <c r="R71" i="2"/>
  <c r="AQ87" i="2"/>
  <c r="BI86" i="2"/>
  <c r="AD77" i="2"/>
  <c r="AC124" i="2"/>
  <c r="R105" i="2"/>
  <c r="BI106" i="2"/>
  <c r="BH105" i="2"/>
  <c r="BJ104" i="2"/>
  <c r="AE96" i="2"/>
  <c r="AT107" i="2"/>
  <c r="AL95" i="2"/>
  <c r="Z101" i="2"/>
  <c r="H103" i="2"/>
  <c r="N114" i="2"/>
  <c r="AQ114" i="2"/>
  <c r="BG118" i="2"/>
  <c r="H123" i="2"/>
  <c r="AQ111" i="2"/>
  <c r="BK57" i="2"/>
  <c r="AF51" i="2"/>
  <c r="BA61" i="2"/>
  <c r="R52" i="2"/>
  <c r="AG63" i="2"/>
  <c r="AI58" i="2"/>
  <c r="BH24" i="2"/>
  <c r="AP32" i="2"/>
  <c r="P39" i="2"/>
  <c r="AU48" i="2"/>
  <c r="AI59" i="2"/>
  <c r="AJ17" i="2"/>
  <c r="BI24" i="2"/>
  <c r="AQ32" i="2"/>
  <c r="Q39" i="2"/>
  <c r="AV48" i="2"/>
  <c r="AK58" i="2"/>
  <c r="V16" i="2"/>
  <c r="AZ22" i="2"/>
  <c r="AH30" i="2"/>
  <c r="S37" i="2"/>
  <c r="V45" i="2"/>
  <c r="Y55" i="2"/>
  <c r="J71" i="2"/>
  <c r="M18" i="2"/>
  <c r="BK24" i="2"/>
  <c r="AS32" i="2"/>
  <c r="S39" i="2"/>
  <c r="I49" i="2"/>
  <c r="AQ59" i="2"/>
  <c r="BD73" i="2"/>
  <c r="BE73" i="2"/>
  <c r="K71" i="2"/>
  <c r="V82" i="2"/>
  <c r="BA70" i="2"/>
  <c r="S80" i="2"/>
  <c r="G66" i="2"/>
  <c r="U75" i="2"/>
  <c r="AZ113" i="2"/>
  <c r="I73" i="2"/>
  <c r="AT85" i="2"/>
  <c r="AH64" i="2"/>
  <c r="AJ73" i="2"/>
  <c r="AZ86" i="2"/>
  <c r="AU78" i="2"/>
  <c r="AM59" i="2"/>
  <c r="K66" i="2"/>
  <c r="S76" i="2"/>
  <c r="AI52" i="2"/>
  <c r="T59" i="2"/>
  <c r="BE65" i="2"/>
  <c r="BE75" i="2"/>
  <c r="AO59" i="2"/>
  <c r="AI66" i="2"/>
  <c r="BE76" i="2"/>
  <c r="AP51" i="2"/>
  <c r="G58" i="2"/>
  <c r="BH64" i="2"/>
  <c r="AR73" i="2"/>
  <c r="AI74" i="2"/>
  <c r="I58" i="2"/>
  <c r="BJ64" i="2"/>
  <c r="AT73" i="2"/>
  <c r="H74" i="2"/>
  <c r="I38" i="2"/>
  <c r="BG44" i="2"/>
  <c r="P53" i="2"/>
  <c r="AO60" i="2"/>
  <c r="BB67" i="3"/>
  <c r="BB67" i="2" s="1"/>
  <c r="BB68" i="2"/>
  <c r="AA78" i="2"/>
  <c r="BM39" i="2"/>
  <c r="AA46" i="3"/>
  <c r="AA47" i="2"/>
  <c r="L54" i="2"/>
  <c r="Q61" i="2"/>
  <c r="AK69" i="2"/>
  <c r="AX80" i="2"/>
  <c r="AY42" i="2"/>
  <c r="H51" i="2"/>
  <c r="M58" i="2"/>
  <c r="AQ65" i="2"/>
  <c r="AO75" i="2"/>
  <c r="AP40" i="2"/>
  <c r="AR48" i="2"/>
  <c r="AW55" i="2"/>
  <c r="BB62" i="2"/>
  <c r="AP72" i="2"/>
  <c r="AC101" i="2"/>
  <c r="AT88" i="3"/>
  <c r="AT88" i="2" s="1"/>
  <c r="AT89" i="2"/>
  <c r="BM83" i="2"/>
  <c r="H95" i="2"/>
  <c r="I81" i="2"/>
  <c r="BK90" i="2"/>
  <c r="AY74" i="2"/>
  <c r="BK82" i="2"/>
  <c r="H93" i="2"/>
  <c r="BC80" i="2"/>
  <c r="AL90" i="2"/>
  <c r="AL73" i="2"/>
  <c r="AG80" i="2"/>
  <c r="K90" i="2"/>
  <c r="AA88" i="3"/>
  <c r="AA88" i="2" s="1"/>
  <c r="AA89" i="2"/>
  <c r="AL114" i="2"/>
  <c r="T92" i="2"/>
  <c r="BB92" i="2"/>
  <c r="AZ71" i="2"/>
  <c r="AT82" i="2"/>
  <c r="AF98" i="2"/>
  <c r="AV76" i="2"/>
  <c r="V94" i="2"/>
  <c r="AL127" i="2"/>
  <c r="AE86" i="2"/>
  <c r="AL71" i="2"/>
  <c r="AQ91" i="2"/>
  <c r="T87" i="2"/>
  <c r="AX77" i="2"/>
  <c r="BA127" i="2"/>
  <c r="T106" i="2"/>
  <c r="AV108" i="2"/>
  <c r="AK107" i="2"/>
  <c r="BK105" i="2"/>
  <c r="L97" i="2"/>
  <c r="X109" i="3"/>
  <c r="X109" i="2" s="1"/>
  <c r="X110" i="2"/>
  <c r="O96" i="2"/>
  <c r="N102" i="2"/>
  <c r="AY106" i="2"/>
  <c r="BL114" i="2"/>
  <c r="BC115" i="2"/>
  <c r="BA119" i="2"/>
  <c r="BK123" i="2"/>
  <c r="R112" i="2"/>
  <c r="AV52" i="2"/>
  <c r="AV64" i="2"/>
  <c r="AH59" i="2"/>
  <c r="L25" i="3"/>
  <c r="L25" i="2" s="1"/>
  <c r="L26" i="2"/>
  <c r="BJ32" i="2"/>
  <c r="AN39" i="2"/>
  <c r="AE49" i="2"/>
  <c r="AT60" i="2"/>
  <c r="BD17" i="2"/>
  <c r="M25" i="3"/>
  <c r="M25" i="2" s="1"/>
  <c r="M26" i="2"/>
  <c r="BK32" i="2"/>
  <c r="AO39" i="2"/>
  <c r="G49" i="2"/>
  <c r="AJ59" i="2"/>
  <c r="AP16" i="2"/>
  <c r="G23" i="2"/>
  <c r="BB30" i="2"/>
  <c r="AM37" i="2"/>
  <c r="AT45" i="2"/>
  <c r="BC55" i="2"/>
  <c r="AJ72" i="2"/>
  <c r="AG18" i="2"/>
  <c r="O25" i="3"/>
  <c r="O25" i="2" s="1"/>
  <c r="O26" i="2"/>
  <c r="BM32" i="2"/>
  <c r="AQ39" i="2"/>
  <c r="AI49" i="2"/>
  <c r="I60" i="2"/>
  <c r="P74" i="2"/>
  <c r="S74" i="2"/>
  <c r="AK71" i="2"/>
  <c r="BJ83" i="2"/>
  <c r="N71" i="2"/>
  <c r="BK80" i="2"/>
  <c r="AC66" i="2"/>
  <c r="AX75" i="2"/>
  <c r="BB64" i="2"/>
  <c r="AI73" i="2"/>
  <c r="AW86" i="2"/>
  <c r="BC64" i="2"/>
  <c r="BM73" i="2"/>
  <c r="BJ88" i="3"/>
  <c r="BJ88" i="2" s="1"/>
  <c r="BJ89" i="2"/>
  <c r="O79" i="2"/>
  <c r="BG59" i="2"/>
  <c r="AG66" i="2"/>
  <c r="AZ76" i="2"/>
  <c r="BC52" i="2"/>
  <c r="AN59" i="2"/>
  <c r="L66" i="2"/>
  <c r="V76" i="2"/>
  <c r="BI59" i="2"/>
  <c r="BE66" i="2"/>
  <c r="U77" i="2"/>
  <c r="BJ51" i="2"/>
  <c r="AA58" i="2"/>
  <c r="P65" i="2"/>
  <c r="AH74" i="2"/>
  <c r="AE75" i="2"/>
  <c r="AC58" i="2"/>
  <c r="R65" i="2"/>
  <c r="G74" i="2"/>
  <c r="AM74" i="2"/>
  <c r="AC38" i="2"/>
  <c r="N45" i="2"/>
  <c r="AJ53" i="2"/>
  <c r="BI60" i="2"/>
  <c r="L69" i="2"/>
  <c r="BH78" i="2"/>
  <c r="T40" i="2"/>
  <c r="AU46" i="3"/>
  <c r="AU47" i="2"/>
  <c r="AF54" i="2"/>
  <c r="AK61" i="2"/>
  <c r="BI69" i="2"/>
  <c r="T81" i="2"/>
  <c r="Z43" i="2"/>
  <c r="AB51" i="2"/>
  <c r="AG58" i="2"/>
  <c r="BM65" i="2"/>
  <c r="AJ76" i="2"/>
  <c r="BJ40" i="2"/>
  <c r="S49" i="2"/>
  <c r="X56" i="2"/>
  <c r="I63" i="2"/>
  <c r="Z73" i="2"/>
  <c r="AE108" i="2"/>
  <c r="AE90" i="2"/>
  <c r="V84" i="2"/>
  <c r="AZ95" i="2"/>
  <c r="AF81" i="2"/>
  <c r="X91" i="2"/>
  <c r="Z75" i="2"/>
  <c r="U83" i="2"/>
  <c r="AP93" i="2"/>
  <c r="K81" i="2"/>
  <c r="BM90" i="2"/>
  <c r="BF73" i="2"/>
  <c r="BD80" i="2"/>
  <c r="AO90" i="2"/>
  <c r="AZ88" i="3"/>
  <c r="AZ88" i="2" s="1"/>
  <c r="AZ89" i="2"/>
  <c r="BI81" i="2"/>
  <c r="BA92" i="2"/>
  <c r="O93" i="2"/>
  <c r="G72" i="2"/>
  <c r="AA83" i="2"/>
  <c r="AG99" i="2"/>
  <c r="W77" i="2"/>
  <c r="BG94" i="2"/>
  <c r="AC86" i="2"/>
  <c r="BG86" i="2"/>
  <c r="BF71" i="2"/>
  <c r="BK92" i="2"/>
  <c r="AR87" i="2"/>
  <c r="AS78" i="2"/>
  <c r="I93" i="2"/>
  <c r="AI116" i="2"/>
  <c r="BB119" i="2"/>
  <c r="BH117" i="2"/>
  <c r="BM115" i="2"/>
  <c r="Q101" i="2"/>
  <c r="AJ103" i="2"/>
  <c r="J100" i="2"/>
  <c r="AA108" i="2"/>
  <c r="AX107" i="2"/>
  <c r="BK125" i="2"/>
  <c r="AK126" i="2"/>
  <c r="AO117" i="2"/>
  <c r="AK109" i="3"/>
  <c r="AK109" i="2" s="1"/>
  <c r="AK110" i="2"/>
  <c r="H118" i="2"/>
  <c r="AN50" i="2"/>
  <c r="AD60" i="2"/>
  <c r="AP35" i="2"/>
  <c r="BJ42" i="2"/>
  <c r="AS52" i="2"/>
  <c r="Z65" i="2"/>
  <c r="AA49" i="2"/>
  <c r="BI58" i="2"/>
  <c r="P52" i="2"/>
  <c r="BH62" i="2"/>
  <c r="I53" i="2"/>
  <c r="AL65" i="2"/>
  <c r="AS60" i="2"/>
  <c r="AF25" i="3"/>
  <c r="AF25" i="2" s="1"/>
  <c r="AF26" i="2"/>
  <c r="Q33" i="2"/>
  <c r="Y40" i="2"/>
  <c r="BI49" i="2"/>
  <c r="U61" i="2"/>
  <c r="K18" i="2"/>
  <c r="AG25" i="3"/>
  <c r="AG25" i="2" s="1"/>
  <c r="AG26" i="2"/>
  <c r="R33" i="2"/>
  <c r="Z40" i="2"/>
  <c r="AG49" i="2"/>
  <c r="G60" i="2"/>
  <c r="BJ16" i="2"/>
  <c r="AA23" i="2"/>
  <c r="I31" i="2"/>
  <c r="BH37" i="2"/>
  <c r="R46" i="3"/>
  <c r="R47" i="2"/>
  <c r="L56" i="2"/>
  <c r="W12" i="2"/>
  <c r="BA18" i="2"/>
  <c r="AI25" i="3"/>
  <c r="AI25" i="2" s="1"/>
  <c r="AI26" i="2"/>
  <c r="T33" i="2"/>
  <c r="AB40" i="2"/>
  <c r="BL49" i="2"/>
  <c r="AW60" i="2"/>
  <c r="AV74" i="2"/>
  <c r="AW74" i="2"/>
  <c r="BK71" i="2"/>
  <c r="AS84" i="2"/>
  <c r="AM71" i="2"/>
  <c r="AL81" i="2"/>
  <c r="AY66" i="2"/>
  <c r="L76" i="2"/>
  <c r="J65" i="2"/>
  <c r="BL73" i="2"/>
  <c r="AQ88" i="3"/>
  <c r="AQ88" i="2" s="1"/>
  <c r="AQ89" i="2"/>
  <c r="K65" i="2"/>
  <c r="AA74" i="2"/>
  <c r="AN91" i="2"/>
  <c r="BD79" i="2"/>
  <c r="N60" i="2"/>
  <c r="BC66" i="2"/>
  <c r="S77" i="2"/>
  <c r="J53" i="2"/>
  <c r="BH59" i="2"/>
  <c r="AH66" i="2"/>
  <c r="BD76" i="2"/>
  <c r="P60" i="2"/>
  <c r="V67" i="3"/>
  <c r="V67" i="2" s="1"/>
  <c r="V68" i="2"/>
  <c r="BB77" i="2"/>
  <c r="Q52" i="2"/>
  <c r="AU58" i="2"/>
  <c r="AK65" i="2"/>
  <c r="AD75" i="2"/>
  <c r="BK75" i="2"/>
  <c r="AW58" i="2"/>
  <c r="AM65" i="2"/>
  <c r="AJ74" i="2"/>
  <c r="AI75" i="2"/>
  <c r="AW38" i="2"/>
  <c r="AH45" i="2"/>
  <c r="BD53" i="2"/>
  <c r="P61" i="2"/>
  <c r="AJ69" i="2"/>
  <c r="AD79" i="2"/>
  <c r="AN40" i="2"/>
  <c r="V48" i="2"/>
  <c r="AZ54" i="2"/>
  <c r="BE61" i="2"/>
  <c r="T70" i="2"/>
  <c r="BG82" i="2"/>
  <c r="AT43" i="2"/>
  <c r="AV51" i="2"/>
  <c r="BA58" i="2"/>
  <c r="T66" i="2"/>
  <c r="AG77" i="2"/>
  <c r="AK41" i="2"/>
  <c r="AM49" i="2"/>
  <c r="AR56" i="2"/>
  <c r="AC63" i="2"/>
  <c r="BB73" i="2"/>
  <c r="G81" i="2"/>
  <c r="BI90" i="2"/>
  <c r="AX84" i="2"/>
  <c r="AH96" i="2"/>
  <c r="BC81" i="2"/>
  <c r="BA91" i="2"/>
  <c r="AT75" i="2"/>
  <c r="AR83" i="2"/>
  <c r="I94" i="2"/>
  <c r="AH81" i="2"/>
  <c r="Z91" i="2"/>
  <c r="M74" i="2"/>
  <c r="L81" i="2"/>
  <c r="AB91" i="2"/>
  <c r="AP90" i="2"/>
  <c r="U82" i="2"/>
  <c r="N93" i="2"/>
  <c r="AX93" i="2"/>
  <c r="AU72" i="2"/>
  <c r="AY83" i="2"/>
  <c r="AR105" i="2"/>
  <c r="AQ77" i="2"/>
  <c r="AB95" i="2"/>
  <c r="BC86" i="2"/>
  <c r="R87" i="2"/>
  <c r="M72" i="2"/>
  <c r="BJ93" i="2"/>
  <c r="L88" i="3"/>
  <c r="L88" i="2" s="1"/>
  <c r="L89" i="2"/>
  <c r="AX81" i="2"/>
  <c r="T96" i="2"/>
  <c r="V91" i="2"/>
  <c r="K101" i="2"/>
  <c r="AK88" i="3"/>
  <c r="AK88" i="2" s="1"/>
  <c r="AK89" i="2"/>
  <c r="AR92" i="2"/>
  <c r="AF105" i="2"/>
  <c r="Z109" i="3"/>
  <c r="Z109" i="2" s="1"/>
  <c r="Z110" i="2"/>
  <c r="AM103" i="2"/>
  <c r="N117" i="2"/>
  <c r="BM112" i="2"/>
  <c r="AN127" i="2"/>
  <c r="AZ127" i="2"/>
  <c r="T118" i="2"/>
  <c r="M111" i="2"/>
  <c r="AW118" i="2"/>
  <c r="AS61" i="2"/>
  <c r="BJ35" i="2"/>
  <c r="S43" i="2"/>
  <c r="AH53" i="2"/>
  <c r="X66" i="2"/>
  <c r="BA49" i="2"/>
  <c r="AE59" i="2"/>
  <c r="AU52" i="2"/>
  <c r="AF63" i="2"/>
  <c r="AO53" i="2"/>
  <c r="AA66" i="2"/>
  <c r="T61" i="2"/>
  <c r="AZ25" i="3"/>
  <c r="AZ25" i="2" s="1"/>
  <c r="AZ26" i="2"/>
  <c r="AK33" i="2"/>
  <c r="AW40" i="2"/>
  <c r="U50" i="2"/>
  <c r="BI61" i="2"/>
  <c r="AE18" i="2"/>
  <c r="BA25" i="3"/>
  <c r="BA25" i="2" s="1"/>
  <c r="BA26" i="2"/>
  <c r="AL33" i="2"/>
  <c r="AX40" i="2"/>
  <c r="BJ49" i="2"/>
  <c r="AU60" i="2"/>
  <c r="Q17" i="2"/>
  <c r="AU23" i="2"/>
  <c r="AC31" i="2"/>
  <c r="Q38" i="2"/>
  <c r="AP46" i="3"/>
  <c r="AP47" i="2"/>
  <c r="AN56" i="2"/>
  <c r="AQ12" i="2"/>
  <c r="H19" i="2"/>
  <c r="BC25" i="3"/>
  <c r="BC25" i="2" s="1"/>
  <c r="BC26" i="2"/>
  <c r="AN33" i="2"/>
  <c r="AZ40" i="2"/>
  <c r="X50" i="2"/>
  <c r="X61" i="2"/>
  <c r="N75" i="2"/>
  <c r="O75" i="2"/>
  <c r="V72" i="2"/>
  <c r="AJ85" i="2"/>
  <c r="BL71" i="2"/>
  <c r="Y82" i="2"/>
  <c r="P67" i="3"/>
  <c r="P67" i="2" s="1"/>
  <c r="P68" i="2"/>
  <c r="AT76" i="2"/>
  <c r="AE65" i="2"/>
  <c r="Z74" i="2"/>
  <c r="T91" i="2"/>
  <c r="AF65" i="2"/>
  <c r="BD74" i="2"/>
  <c r="AG93" i="2"/>
  <c r="AC80" i="2"/>
  <c r="AH60" i="2"/>
  <c r="T67" i="3"/>
  <c r="T67" i="2" s="1"/>
  <c r="T68" i="2"/>
  <c r="AZ77" i="2"/>
  <c r="AD53" i="2"/>
  <c r="O60" i="2"/>
  <c r="BD66" i="2"/>
  <c r="T77" i="2"/>
  <c r="AJ60" i="2"/>
  <c r="AT67" i="3"/>
  <c r="AT67" i="2" s="1"/>
  <c r="AT68" i="2"/>
  <c r="S78" i="2"/>
  <c r="AK52" i="2"/>
  <c r="V59" i="2"/>
  <c r="BG65" i="2"/>
  <c r="BJ75" i="2"/>
  <c r="Z76" i="2"/>
  <c r="X59" i="2"/>
  <c r="BI65" i="2"/>
  <c r="AH75" i="2"/>
  <c r="BM75" i="2"/>
  <c r="X39" i="2"/>
  <c r="BB45" i="2"/>
  <c r="K54" i="2"/>
  <c r="AJ61" i="2"/>
  <c r="BH69" i="2"/>
  <c r="AW80" i="2"/>
  <c r="BH40" i="2"/>
  <c r="AP48" i="2"/>
  <c r="G55" i="2"/>
  <c r="L62" i="2"/>
  <c r="AT70" i="2"/>
  <c r="AU83" i="2"/>
  <c r="U44" i="2"/>
  <c r="W52" i="2"/>
  <c r="H59" i="2"/>
  <c r="AR66" i="2"/>
  <c r="BJ78" i="2"/>
  <c r="BE41" i="2"/>
  <c r="BG49" i="2"/>
  <c r="BL56" i="2"/>
  <c r="AW63" i="2"/>
  <c r="N74" i="2"/>
  <c r="AD81" i="2"/>
  <c r="U91" i="2"/>
  <c r="G85" i="2"/>
  <c r="R97" i="2"/>
  <c r="M82" i="2"/>
  <c r="N92" i="2"/>
  <c r="U76" i="2"/>
  <c r="Z84" i="2"/>
  <c r="AT94" i="2"/>
  <c r="BE81" i="2"/>
  <c r="BE91" i="2"/>
  <c r="AG74" i="2"/>
  <c r="AI81" i="2"/>
  <c r="R92" i="2"/>
  <c r="AC91" i="2"/>
  <c r="AR82" i="2"/>
  <c r="AV93" i="2"/>
  <c r="R94" i="2"/>
  <c r="AP73" i="2"/>
  <c r="J84" i="2"/>
  <c r="P117" i="2"/>
  <c r="BK77" i="2"/>
  <c r="BE96" i="2"/>
  <c r="P87" i="2"/>
  <c r="AP87" i="2"/>
  <c r="AG72" i="2"/>
  <c r="BG99" i="2"/>
  <c r="BK93" i="2"/>
  <c r="AE82" i="2"/>
  <c r="BK96" i="2"/>
  <c r="AP91" i="2"/>
  <c r="AK101" i="2"/>
  <c r="BE88" i="3"/>
  <c r="BE88" i="2" s="1"/>
  <c r="BE89" i="2"/>
  <c r="BL92" i="2"/>
  <c r="AL106" i="2"/>
  <c r="BH111" i="2"/>
  <c r="AM104" i="2"/>
  <c r="P119" i="2"/>
  <c r="AF116" i="2"/>
  <c r="BA105" i="2"/>
  <c r="Q99" i="2"/>
  <c r="BA125" i="2"/>
  <c r="I117" i="2"/>
  <c r="AI125" i="2"/>
  <c r="AD76" i="2"/>
  <c r="AR39" i="2"/>
  <c r="Z46" i="3"/>
  <c r="Z47" i="2"/>
  <c r="AE54" i="2"/>
  <c r="BD61" i="2"/>
  <c r="S70" i="2"/>
  <c r="R81" i="2"/>
  <c r="O41" i="2"/>
  <c r="BJ48" i="2"/>
  <c r="AA55" i="2"/>
  <c r="AF62" i="2"/>
  <c r="AC71" i="2"/>
  <c r="AE84" i="2"/>
  <c r="AO44" i="2"/>
  <c r="AQ52" i="2"/>
  <c r="AB59" i="2"/>
  <c r="BE67" i="3"/>
  <c r="BE67" i="2" s="1"/>
  <c r="BE68" i="2"/>
  <c r="AJ79" i="2"/>
  <c r="L42" i="2"/>
  <c r="N50" i="2"/>
  <c r="S57" i="2"/>
  <c r="Y64" i="2"/>
  <c r="AT74" i="2"/>
  <c r="BA81" i="2"/>
  <c r="AW91" i="2"/>
  <c r="AE85" i="2"/>
  <c r="H98" i="2"/>
  <c r="AM82" i="2"/>
  <c r="AQ92" i="2"/>
  <c r="AO76" i="2"/>
  <c r="AZ84" i="2"/>
  <c r="N95" i="2"/>
  <c r="P82" i="2"/>
  <c r="P92" i="2"/>
  <c r="BA74" i="2"/>
  <c r="S82" i="2"/>
  <c r="AY92" i="2"/>
  <c r="BG91" i="2"/>
  <c r="Y83" i="2"/>
  <c r="Q94" i="2"/>
  <c r="BB94" i="2"/>
  <c r="AK74" i="2"/>
  <c r="AH84" i="2"/>
  <c r="W69" i="2"/>
  <c r="M79" i="2"/>
  <c r="AT97" i="2"/>
  <c r="AN87" i="2"/>
  <c r="J88" i="3"/>
  <c r="J88" i="2" s="1"/>
  <c r="J89" i="2"/>
  <c r="AQ74" i="2"/>
  <c r="AU102" i="2"/>
  <c r="AO95" i="2"/>
  <c r="AA85" i="2"/>
  <c r="BF99" i="2"/>
  <c r="Q92" i="2"/>
  <c r="BG102" i="2"/>
  <c r="AF90" i="2"/>
  <c r="AM93" i="2"/>
  <c r="Q108" i="2"/>
  <c r="AL113" i="2"/>
  <c r="AR106" i="2"/>
  <c r="X127" i="2"/>
  <c r="T117" i="2"/>
  <c r="AH106" i="2"/>
  <c r="BE99" i="2"/>
  <c r="AN126" i="2"/>
  <c r="BC117" i="2"/>
  <c r="K126" i="2"/>
  <c r="BE62" i="2"/>
  <c r="AK36" i="2"/>
  <c r="AB44" i="2"/>
  <c r="X54" i="2"/>
  <c r="AB41" i="2"/>
  <c r="AP50" i="2"/>
  <c r="H61" i="2"/>
  <c r="AN53" i="2"/>
  <c r="AG65" i="2"/>
  <c r="BG54" i="2"/>
  <c r="J72" i="2"/>
  <c r="W62" i="2"/>
  <c r="AA27" i="2"/>
  <c r="L34" i="2"/>
  <c r="AF41" i="2"/>
  <c r="J51" i="2"/>
  <c r="AI63" i="2"/>
  <c r="Z19" i="2"/>
  <c r="AB27" i="2"/>
  <c r="M34" i="2"/>
  <c r="AG41" i="2"/>
  <c r="AV50" i="2"/>
  <c r="BJ61" i="2"/>
  <c r="BE17" i="2"/>
  <c r="AP24" i="2"/>
  <c r="X32" i="2"/>
  <c r="BI38" i="2"/>
  <c r="AW48" i="2"/>
  <c r="AL58" i="2"/>
  <c r="R13" i="2"/>
  <c r="AV19" i="2"/>
  <c r="AD27" i="2"/>
  <c r="O34" i="2"/>
  <c r="AM41" i="2"/>
  <c r="M51" i="2"/>
  <c r="AJ62" i="2"/>
  <c r="AM76" i="2"/>
  <c r="I76" i="2"/>
  <c r="AF73" i="2"/>
  <c r="AU87" i="2"/>
  <c r="AW72" i="2"/>
  <c r="BK83" i="2"/>
  <c r="BL67" i="3"/>
  <c r="BL67" i="2" s="1"/>
  <c r="BL68" i="2"/>
  <c r="AS77" i="2"/>
  <c r="H66" i="2"/>
  <c r="V75" i="2"/>
  <c r="AK59" i="2"/>
  <c r="I66" i="2"/>
  <c r="BB75" i="2"/>
  <c r="S71" i="2"/>
  <c r="AF82" i="2"/>
  <c r="I61" i="2"/>
  <c r="AA69" i="2"/>
  <c r="AV78" i="2"/>
  <c r="Y54" i="2"/>
  <c r="BC60" i="2"/>
  <c r="AS67" i="3"/>
  <c r="AS67" i="2" s="1"/>
  <c r="AS68" i="2"/>
  <c r="P78" i="2"/>
  <c r="K61" i="2"/>
  <c r="BC69" i="2"/>
  <c r="U79" i="2"/>
  <c r="L53" i="2"/>
  <c r="BJ59" i="2"/>
  <c r="AJ66" i="2"/>
  <c r="BF76" i="2"/>
  <c r="Y77" i="2"/>
  <c r="BL59" i="2"/>
  <c r="AL66" i="2"/>
  <c r="AC76" i="2"/>
  <c r="BL76" i="2"/>
  <c r="BL39" i="2"/>
  <c r="AT46" i="3"/>
  <c r="AT47" i="2"/>
  <c r="AY54" i="2"/>
  <c r="K62" i="2"/>
  <c r="AR70" i="2"/>
  <c r="BD82" i="2"/>
  <c r="AI41" i="2"/>
  <c r="Q49" i="2"/>
  <c r="AU55" i="2"/>
  <c r="AZ62" i="2"/>
  <c r="BC71" i="2"/>
  <c r="N85" i="2"/>
  <c r="BI44" i="2"/>
  <c r="BK52" i="2"/>
  <c r="W60" i="2"/>
  <c r="N69" i="2"/>
  <c r="K80" i="2"/>
  <c r="AF42" i="2"/>
  <c r="AH50" i="2"/>
  <c r="AM57" i="2"/>
  <c r="AT64" i="2"/>
  <c r="J75" i="2"/>
  <c r="K82" i="2"/>
  <c r="L92" i="2"/>
  <c r="BC85" i="2"/>
  <c r="AY101" i="2"/>
  <c r="BJ82" i="2"/>
  <c r="G93" i="2"/>
  <c r="BI76" i="2"/>
  <c r="I85" i="2"/>
  <c r="BF95" i="2"/>
  <c r="AO82" i="2"/>
  <c r="AV92" i="2"/>
  <c r="AB75" i="2"/>
  <c r="AP82" i="2"/>
  <c r="K93" i="2"/>
  <c r="S92" i="2"/>
  <c r="AV83" i="2"/>
  <c r="AZ94" i="2"/>
  <c r="W95" i="2"/>
  <c r="L75" i="2"/>
  <c r="BF84" i="2"/>
  <c r="AQ69" i="2"/>
  <c r="AI79" i="2"/>
  <c r="J102" i="2"/>
  <c r="BG88" i="3"/>
  <c r="BG88" i="2" s="1"/>
  <c r="BG89" i="2"/>
  <c r="AX90" i="2"/>
  <c r="R75" i="2"/>
  <c r="L104" i="2"/>
  <c r="H106" i="2"/>
  <c r="AY85" i="2"/>
  <c r="Q100" i="2"/>
  <c r="AT95" i="2"/>
  <c r="AW108" i="2"/>
  <c r="BE93" i="2"/>
  <c r="BA96" i="2"/>
  <c r="U125" i="2"/>
  <c r="AZ101" i="2"/>
  <c r="J116" i="2"/>
  <c r="Y122" i="2"/>
  <c r="AG127" i="2"/>
  <c r="AN114" i="2"/>
  <c r="BI105" i="2"/>
  <c r="AI127" i="2"/>
  <c r="BA124" i="2"/>
  <c r="BB120" i="2"/>
  <c r="H25" i="3"/>
  <c r="H25" i="2" s="1"/>
  <c r="H26" i="2"/>
  <c r="S35" i="2"/>
  <c r="AB48" i="2"/>
  <c r="H58" i="2"/>
  <c r="U38" i="2"/>
  <c r="AX46" i="3"/>
  <c r="AX47" i="2"/>
  <c r="AS57" i="2"/>
  <c r="AG108" i="2"/>
  <c r="BB48" i="2"/>
  <c r="AQ58" i="2"/>
  <c r="AS38" i="2"/>
  <c r="AE48" i="2"/>
  <c r="P58" i="2"/>
  <c r="P35" i="2"/>
  <c r="AK43" i="2"/>
  <c r="Z53" i="2"/>
  <c r="BB63" i="2"/>
  <c r="BF45" i="2"/>
  <c r="BM55" i="2"/>
  <c r="BG71" i="2"/>
  <c r="H37" i="2"/>
  <c r="AE45" i="2"/>
  <c r="L55" i="2"/>
  <c r="AX70" i="2"/>
  <c r="AW54" i="2"/>
  <c r="BI67" i="3"/>
  <c r="BI67" i="2" s="1"/>
  <c r="BI68" i="2"/>
  <c r="AJ48" i="2"/>
  <c r="BH57" i="2"/>
  <c r="BI35" i="2"/>
  <c r="R43" i="2"/>
  <c r="L52" i="2"/>
  <c r="Y63" i="2"/>
  <c r="BE36" i="2"/>
  <c r="AZ44" i="2"/>
  <c r="BD54" i="2"/>
  <c r="AZ41" i="2"/>
  <c r="AE51" i="2"/>
  <c r="AV61" i="2"/>
  <c r="AB54" i="2"/>
  <c r="Z66" i="2"/>
  <c r="S55" i="2"/>
  <c r="M80" i="2"/>
  <c r="BK62" i="2"/>
  <c r="AU27" i="2"/>
  <c r="AF34" i="2"/>
  <c r="BH41" i="2"/>
  <c r="AI51" i="2"/>
  <c r="AX64" i="2"/>
  <c r="AT19" i="2"/>
  <c r="AV27" i="2"/>
  <c r="AG34" i="2"/>
  <c r="BI41" i="2"/>
  <c r="K51" i="2"/>
  <c r="AD62" i="2"/>
  <c r="L18" i="2"/>
  <c r="BJ24" i="2"/>
  <c r="AR32" i="2"/>
  <c r="R39" i="2"/>
  <c r="H49" i="2"/>
  <c r="AL59" i="2"/>
  <c r="AL13" i="2"/>
  <c r="W20" i="2"/>
  <c r="AX27" i="2"/>
  <c r="AI34" i="2"/>
  <c r="BK41" i="2"/>
  <c r="AL51" i="2"/>
  <c r="AQ63" i="2"/>
  <c r="AM77" i="2"/>
  <c r="AP76" i="2"/>
  <c r="BG73" i="2"/>
  <c r="O88" i="3"/>
  <c r="O88" i="2" s="1"/>
  <c r="O89" i="2"/>
  <c r="AG73" i="2"/>
  <c r="AT84" i="2"/>
  <c r="U69" i="2"/>
  <c r="H78" i="2"/>
  <c r="AD66" i="2"/>
  <c r="AY75" i="2"/>
  <c r="BE59" i="2"/>
  <c r="AE66" i="2"/>
  <c r="Q76" i="2"/>
  <c r="AR71" i="2"/>
  <c r="Q83" i="2"/>
  <c r="AC61" i="2"/>
  <c r="BA69" i="2"/>
  <c r="P79" i="2"/>
  <c r="AS54" i="2"/>
  <c r="J61" i="2"/>
  <c r="AC69" i="2"/>
  <c r="AW78" i="2"/>
  <c r="AE61" i="2"/>
  <c r="L70" i="2"/>
  <c r="BI79" i="2"/>
  <c r="AF53" i="2"/>
  <c r="Q60" i="2"/>
  <c r="BF66" i="2"/>
  <c r="X77" i="2"/>
  <c r="BG77" i="2"/>
  <c r="S60" i="2"/>
  <c r="BH66" i="2"/>
  <c r="BJ76" i="2"/>
  <c r="AA77" i="2"/>
  <c r="S40" i="2"/>
  <c r="U48" i="2"/>
  <c r="Z55" i="2"/>
  <c r="AE62" i="2"/>
  <c r="AB71" i="2"/>
  <c r="AN83" i="2"/>
  <c r="BC41" i="2"/>
  <c r="AK49" i="2"/>
  <c r="V56" i="2"/>
  <c r="G63" i="2"/>
  <c r="P72" i="2"/>
  <c r="K86" i="2"/>
  <c r="P45" i="2"/>
  <c r="AL53" i="2"/>
  <c r="AQ60" i="2"/>
  <c r="AL69" i="2"/>
  <c r="AY80" i="2"/>
  <c r="AZ42" i="2"/>
  <c r="BB50" i="2"/>
  <c r="BG57" i="2"/>
  <c r="W65" i="2"/>
  <c r="AP75" i="2"/>
  <c r="AI82" i="2"/>
  <c r="AN92" i="2"/>
  <c r="P86" i="2"/>
  <c r="BB106" i="2"/>
  <c r="T83" i="2"/>
  <c r="AL93" i="2"/>
  <c r="P77" i="2"/>
  <c r="AG85" i="2"/>
  <c r="AL96" i="2"/>
  <c r="BL82" i="2"/>
  <c r="AQ93" i="2"/>
  <c r="AV75" i="2"/>
  <c r="BM82" i="2"/>
  <c r="AT93" i="2"/>
  <c r="AZ92" i="2"/>
  <c r="AF84" i="2"/>
  <c r="U95" i="2"/>
  <c r="AP97" i="2"/>
  <c r="AF75" i="2"/>
  <c r="O85" i="2"/>
  <c r="BK69" i="2"/>
  <c r="O80" i="2"/>
  <c r="AU105" i="2"/>
  <c r="W90" i="2"/>
  <c r="M91" i="2"/>
  <c r="BF75" i="2"/>
  <c r="AN109" i="3"/>
  <c r="AN109" i="2" s="1"/>
  <c r="AN110" i="2"/>
  <c r="AR109" i="3"/>
  <c r="AR109" i="2" s="1"/>
  <c r="AR110" i="2"/>
  <c r="AJ86" i="2"/>
  <c r="AF101" i="2"/>
  <c r="K99" i="2"/>
  <c r="BD115" i="2"/>
  <c r="G96" i="2"/>
  <c r="U99" i="2"/>
  <c r="BG81" i="2"/>
  <c r="M107" i="2"/>
  <c r="M127" i="2"/>
  <c r="AB123" i="2"/>
  <c r="T129" i="2"/>
  <c r="X115" i="2"/>
  <c r="AN106" i="2"/>
  <c r="X128" i="2"/>
  <c r="AP125" i="2"/>
  <c r="AC121" i="2"/>
  <c r="AN52" i="2"/>
  <c r="BM63" i="2"/>
  <c r="L37" i="2"/>
  <c r="K45" i="2"/>
  <c r="P55" i="2"/>
  <c r="O42" i="2"/>
  <c r="BE51" i="2"/>
  <c r="S62" i="2"/>
  <c r="BF54" i="2"/>
  <c r="J67" i="3"/>
  <c r="J67" i="2" s="1"/>
  <c r="J68" i="2"/>
  <c r="AY55" i="2"/>
  <c r="AH51" i="2"/>
  <c r="AH63" i="2"/>
  <c r="V28" i="2"/>
  <c r="AZ34" i="2"/>
  <c r="S42" i="2"/>
  <c r="BK51" i="2"/>
  <c r="AS65" i="2"/>
  <c r="U20" i="2"/>
  <c r="W28" i="2"/>
  <c r="BA34" i="2"/>
  <c r="T42" i="2"/>
  <c r="AJ51" i="2"/>
  <c r="AJ63" i="2"/>
  <c r="AF18" i="2"/>
  <c r="N25" i="3"/>
  <c r="N25" i="2" s="1"/>
  <c r="N26" i="2"/>
  <c r="BL32" i="2"/>
  <c r="AP39" i="2"/>
  <c r="AH49" i="2"/>
  <c r="H60" i="2"/>
  <c r="BF13" i="2"/>
  <c r="AQ20" i="2"/>
  <c r="Y28" i="2"/>
  <c r="BC34" i="2"/>
  <c r="V42" i="2"/>
  <c r="AA52" i="2"/>
  <c r="I64" i="2"/>
  <c r="AI78" i="2"/>
  <c r="AN77" i="2"/>
  <c r="T74" i="2"/>
  <c r="AR95" i="2"/>
  <c r="BH73" i="2"/>
  <c r="AN85" i="2"/>
  <c r="AU69" i="2"/>
  <c r="AO78" i="2"/>
  <c r="AZ66" i="2"/>
  <c r="P76" i="2"/>
  <c r="L60" i="2"/>
  <c r="BA66" i="2"/>
  <c r="AX76" i="2"/>
  <c r="AC72" i="2"/>
  <c r="BI84" i="2"/>
  <c r="AW61" i="2"/>
  <c r="J70" i="2"/>
  <c r="BG79" i="2"/>
  <c r="BM54" i="2"/>
  <c r="AD61" i="2"/>
  <c r="BB69" i="2"/>
  <c r="Q79" i="2"/>
  <c r="AY61" i="2"/>
  <c r="AJ70" i="2"/>
  <c r="AJ80" i="2"/>
  <c r="AZ53" i="2"/>
  <c r="AK60" i="2"/>
  <c r="W67" i="3"/>
  <c r="W67" i="2" s="1"/>
  <c r="W68" i="2"/>
  <c r="BE77" i="2"/>
  <c r="U78" i="2"/>
  <c r="AM60" i="2"/>
  <c r="Y67" i="3"/>
  <c r="Y67" i="2" s="1"/>
  <c r="Y68" i="2"/>
  <c r="Z77" i="2"/>
  <c r="BI77" i="2"/>
  <c r="AM40" i="2"/>
  <c r="AO48" i="2"/>
  <c r="AT55" i="2"/>
  <c r="AY62" i="2"/>
  <c r="BB71" i="2"/>
  <c r="T84" i="2"/>
  <c r="J42" i="2"/>
  <c r="BE49" i="2"/>
  <c r="AP56" i="2"/>
  <c r="AA63" i="2"/>
  <c r="AN72" i="2"/>
  <c r="Q87" i="2"/>
  <c r="BD45" i="2"/>
  <c r="BF53" i="2"/>
  <c r="BK60" i="2"/>
  <c r="BL69" i="2"/>
  <c r="U81" i="2"/>
  <c r="G43" i="2"/>
  <c r="I51" i="2"/>
  <c r="N58" i="2"/>
  <c r="AR65" i="2"/>
  <c r="AK76" i="2"/>
  <c r="BH82" i="2"/>
  <c r="AI93" i="2"/>
  <c r="AP86" i="2"/>
  <c r="S116" i="2"/>
  <c r="AQ83" i="2"/>
  <c r="AR94" i="2"/>
  <c r="AJ77" i="2"/>
  <c r="BE85" i="2"/>
  <c r="W97" i="2"/>
  <c r="AS83" i="2"/>
  <c r="J94" i="2"/>
  <c r="W76" i="2"/>
  <c r="W83" i="2"/>
  <c r="K94" i="2"/>
  <c r="M93" i="2"/>
  <c r="BD84" i="2"/>
  <c r="BM95" i="2"/>
  <c r="AE98" i="2"/>
  <c r="AZ75" i="2"/>
  <c r="Z86" i="2"/>
  <c r="R70" i="2"/>
  <c r="BI80" i="2"/>
  <c r="L112" i="2"/>
  <c r="I91" i="2"/>
  <c r="AG92" i="2"/>
  <c r="AV77" i="2"/>
  <c r="AF115" i="2"/>
  <c r="Y118" i="2"/>
  <c r="R91" i="2"/>
  <c r="M105" i="2"/>
  <c r="AJ99" i="2"/>
  <c r="AT116" i="2"/>
  <c r="AB96" i="2"/>
  <c r="AS99" i="2"/>
  <c r="N82" i="2"/>
  <c r="AV107" i="2"/>
  <c r="AG79" i="2"/>
  <c r="AB108" i="2"/>
  <c r="S125" i="2"/>
  <c r="AH126" i="2"/>
  <c r="AT114" i="2"/>
  <c r="AQ129" i="2"/>
  <c r="AP127" i="2"/>
  <c r="N128" i="2"/>
  <c r="BA72" i="2"/>
  <c r="AN79" i="2"/>
  <c r="K88" i="3"/>
  <c r="K88" i="2" s="1"/>
  <c r="K89" i="2"/>
  <c r="W118" i="2"/>
  <c r="U80" i="2"/>
  <c r="AL88" i="3"/>
  <c r="AL88" i="2" s="1"/>
  <c r="AL89" i="2"/>
  <c r="AG64" i="2"/>
  <c r="O72" i="2"/>
  <c r="BM78" i="2"/>
  <c r="BJ86" i="2"/>
  <c r="AT121" i="2"/>
  <c r="P106" i="2"/>
  <c r="AC93" i="2"/>
  <c r="BG101" i="2"/>
  <c r="Y116" i="2"/>
  <c r="X97" i="2"/>
  <c r="BF106" i="2"/>
  <c r="AK92" i="2"/>
  <c r="AU100" i="2"/>
  <c r="AS115" i="2"/>
  <c r="BA98" i="2"/>
  <c r="BC109" i="3"/>
  <c r="BC109" i="2" s="1"/>
  <c r="BC110" i="2"/>
  <c r="W103" i="2"/>
  <c r="BC119" i="2"/>
  <c r="AI107" i="2"/>
  <c r="BB97" i="2"/>
  <c r="H108" i="2"/>
  <c r="AZ90" i="2"/>
  <c r="AF97" i="2"/>
  <c r="AL107" i="2"/>
  <c r="I97" i="2"/>
  <c r="AF106" i="2"/>
  <c r="BG93" i="2"/>
  <c r="P101" i="2"/>
  <c r="BC123" i="2"/>
  <c r="BC90" i="2"/>
  <c r="AI97" i="2"/>
  <c r="T109" i="3"/>
  <c r="T109" i="2" s="1"/>
  <c r="T110" i="2"/>
  <c r="I83" i="2"/>
  <c r="BD90" i="2"/>
  <c r="BG97" i="2"/>
  <c r="BF111" i="2"/>
  <c r="Y114" i="2"/>
  <c r="G111" i="2"/>
  <c r="Q82" i="2"/>
  <c r="BL88" i="3"/>
  <c r="BL88" i="2" s="1"/>
  <c r="BL89" i="2"/>
  <c r="AJ96" i="2"/>
  <c r="O107" i="2"/>
  <c r="AB80" i="2"/>
  <c r="M87" i="2"/>
  <c r="BI94" i="2"/>
  <c r="AS102" i="2"/>
  <c r="R120" i="2"/>
  <c r="AO124" i="2"/>
  <c r="AG114" i="2"/>
  <c r="J125" i="2"/>
  <c r="I114" i="2"/>
  <c r="AS124" i="2"/>
  <c r="G108" i="2"/>
  <c r="AT117" i="2"/>
  <c r="BL129" i="2"/>
  <c r="BJ126" i="2"/>
  <c r="AX104" i="2"/>
  <c r="BB113" i="2"/>
  <c r="J124" i="2"/>
  <c r="AX99" i="2"/>
  <c r="AG106" i="2"/>
  <c r="U115" i="2"/>
  <c r="O128" i="2"/>
  <c r="BD106" i="2"/>
  <c r="AZ115" i="2"/>
  <c r="BE128" i="2"/>
  <c r="P114" i="2"/>
  <c r="BM125" i="2"/>
  <c r="AU118" i="2"/>
  <c r="AC100" i="2"/>
  <c r="N107" i="2"/>
  <c r="O116" i="2"/>
  <c r="V128" i="2"/>
  <c r="L100" i="2"/>
  <c r="BJ106" i="2"/>
  <c r="BF115" i="2"/>
  <c r="N127" i="2"/>
  <c r="AU116" i="2"/>
  <c r="T127" i="2"/>
  <c r="AT102" i="2"/>
  <c r="X111" i="2"/>
  <c r="O120" i="2"/>
  <c r="AP118" i="2"/>
  <c r="AF127" i="2"/>
  <c r="BA128" i="2"/>
  <c r="N105" i="2"/>
  <c r="AY112" i="2"/>
  <c r="AV120" i="2"/>
  <c r="V129" i="2"/>
  <c r="AN108" i="2"/>
  <c r="AY116" i="2"/>
  <c r="X124" i="2"/>
  <c r="AH111" i="2"/>
  <c r="L118" i="2"/>
  <c r="AC126" i="2"/>
  <c r="AN128" i="2"/>
  <c r="G124" i="2"/>
  <c r="AS119" i="2"/>
  <c r="AD126" i="2"/>
  <c r="G118" i="2"/>
  <c r="M125" i="2"/>
  <c r="AL112" i="2"/>
  <c r="Z119" i="2"/>
  <c r="AF126" i="2"/>
  <c r="AW121" i="2"/>
  <c r="AH128" i="2"/>
  <c r="R78" i="2"/>
  <c r="AA86" i="2"/>
  <c r="AN98" i="2"/>
  <c r="AB92" i="2"/>
  <c r="BL87" i="2"/>
  <c r="BK107" i="2"/>
  <c r="AI88" i="3"/>
  <c r="AI88" i="2" s="1"/>
  <c r="AI89" i="2"/>
  <c r="Z124" i="2"/>
  <c r="H73" i="2"/>
  <c r="BK79" i="2"/>
  <c r="AJ88" i="3"/>
  <c r="AJ88" i="2" s="1"/>
  <c r="AJ89" i="2"/>
  <c r="AW73" i="2"/>
  <c r="AS80" i="2"/>
  <c r="AA90" i="2"/>
  <c r="BA64" i="2"/>
  <c r="AI72" i="2"/>
  <c r="T79" i="2"/>
  <c r="U87" i="2"/>
  <c r="BJ96" i="2"/>
  <c r="AV106" i="2"/>
  <c r="AW93" i="2"/>
  <c r="U102" i="2"/>
  <c r="AH117" i="2"/>
  <c r="AV97" i="2"/>
  <c r="Z107" i="2"/>
  <c r="BE92" i="2"/>
  <c r="H101" i="2"/>
  <c r="AQ116" i="2"/>
  <c r="L99" i="2"/>
  <c r="AJ111" i="2"/>
  <c r="BD103" i="2"/>
  <c r="X123" i="2"/>
  <c r="AX108" i="2"/>
  <c r="J98" i="2"/>
  <c r="BB108" i="2"/>
  <c r="G91" i="2"/>
  <c r="BC97" i="2"/>
  <c r="J108" i="2"/>
  <c r="AG97" i="2"/>
  <c r="AN107" i="2"/>
  <c r="N94" i="2"/>
  <c r="AT101" i="2"/>
  <c r="G125" i="2"/>
  <c r="J91" i="2"/>
  <c r="BF97" i="2"/>
  <c r="AY111" i="2"/>
  <c r="AC83" i="2"/>
  <c r="K91" i="2"/>
  <c r="P98" i="2"/>
  <c r="AR112" i="2"/>
  <c r="M115" i="2"/>
  <c r="BM111" i="2"/>
  <c r="AK82" i="2"/>
  <c r="S90" i="2"/>
  <c r="BF96" i="2"/>
  <c r="AY107" i="2"/>
  <c r="AV80" i="2"/>
  <c r="AG87" i="2"/>
  <c r="R95" i="2"/>
  <c r="G103" i="2"/>
  <c r="AN121" i="2"/>
  <c r="H125" i="2"/>
  <c r="BF114" i="2"/>
  <c r="AY125" i="2"/>
  <c r="AH114" i="2"/>
  <c r="Q125" i="2"/>
  <c r="AD108" i="2"/>
  <c r="I118" i="2"/>
  <c r="AG116" i="2"/>
  <c r="AH127" i="2"/>
  <c r="AB105" i="2"/>
  <c r="L114" i="2"/>
  <c r="AX124" i="2"/>
  <c r="Y100" i="2"/>
  <c r="BC106" i="2"/>
  <c r="AV115" i="2"/>
  <c r="BD128" i="2"/>
  <c r="K107" i="2"/>
  <c r="L116" i="2"/>
  <c r="AF129" i="2"/>
  <c r="AO114" i="2"/>
  <c r="AI126" i="2"/>
  <c r="H119" i="2"/>
  <c r="AW100" i="2"/>
  <c r="AJ107" i="2"/>
  <c r="AP116" i="2"/>
  <c r="BH128" i="2"/>
  <c r="AF100" i="2"/>
  <c r="Q107" i="2"/>
  <c r="T116" i="2"/>
  <c r="BC127" i="2"/>
  <c r="J117" i="2"/>
  <c r="BE127" i="2"/>
  <c r="V103" i="2"/>
  <c r="AV111" i="2"/>
  <c r="AY120" i="2"/>
  <c r="W119" i="2"/>
  <c r="BF127" i="2"/>
  <c r="L129" i="2"/>
  <c r="AH105" i="2"/>
  <c r="G113" i="2"/>
  <c r="G121" i="2"/>
  <c r="BA129" i="2"/>
  <c r="BH108" i="2"/>
  <c r="H117" i="2"/>
  <c r="AZ124" i="2"/>
  <c r="BC111" i="2"/>
  <c r="AH118" i="2"/>
  <c r="BF126" i="2"/>
  <c r="BI128" i="2"/>
  <c r="AB124" i="2"/>
  <c r="V120" i="2"/>
  <c r="AY126" i="2"/>
  <c r="AA118" i="2"/>
  <c r="AH125" i="2"/>
  <c r="BF112" i="2"/>
  <c r="AU119" i="2"/>
  <c r="BA126" i="2"/>
  <c r="X122" i="2"/>
  <c r="BB128" i="2"/>
  <c r="AL78" i="2"/>
  <c r="AY86" i="2"/>
  <c r="AM99" i="2"/>
  <c r="BF92" i="2"/>
  <c r="H88" i="3"/>
  <c r="H88" i="2" s="1"/>
  <c r="H89" i="2"/>
  <c r="BJ112" i="2"/>
  <c r="BK88" i="3"/>
  <c r="BK88" i="2" s="1"/>
  <c r="BK89" i="2"/>
  <c r="AT65" i="2"/>
  <c r="AB73" i="2"/>
  <c r="T80" i="2"/>
  <c r="Z90" i="2"/>
  <c r="X74" i="2"/>
  <c r="Z81" i="2"/>
  <c r="BA90" i="2"/>
  <c r="H65" i="2"/>
  <c r="BC72" i="2"/>
  <c r="AP79" i="2"/>
  <c r="AS87" i="2"/>
  <c r="U97" i="2"/>
  <c r="U107" i="2"/>
  <c r="X94" i="2"/>
  <c r="AY102" i="2"/>
  <c r="AE118" i="2"/>
  <c r="AB98" i="2"/>
  <c r="AS108" i="2"/>
  <c r="L93" i="2"/>
  <c r="AI101" i="2"/>
  <c r="AN117" i="2"/>
  <c r="AL99" i="2"/>
  <c r="T112" i="2"/>
  <c r="W104" i="2"/>
  <c r="AL126" i="2"/>
  <c r="J109" i="3"/>
  <c r="J109" i="2" s="1"/>
  <c r="J110" i="2"/>
  <c r="AG98" i="2"/>
  <c r="L109" i="3"/>
  <c r="L109" i="2" s="1"/>
  <c r="L110" i="2"/>
  <c r="AA91" i="2"/>
  <c r="K98" i="2"/>
  <c r="BD108" i="2"/>
  <c r="BD97" i="2"/>
  <c r="N108" i="2"/>
  <c r="AH94" i="2"/>
  <c r="G102" i="2"/>
  <c r="AZ128" i="2"/>
  <c r="AD91" i="2"/>
  <c r="N98" i="2"/>
  <c r="AP112" i="2"/>
  <c r="AW83" i="2"/>
  <c r="AE91" i="2"/>
  <c r="AM98" i="2"/>
  <c r="AK113" i="2"/>
  <c r="J120" i="2"/>
  <c r="BB112" i="2"/>
  <c r="BE82" i="2"/>
  <c r="AM90" i="2"/>
  <c r="P97" i="2"/>
  <c r="Z108" i="2"/>
  <c r="W81" i="2"/>
  <c r="BA87" i="2"/>
  <c r="AM95" i="2"/>
  <c r="AO103" i="2"/>
  <c r="BC122" i="2"/>
  <c r="AX125" i="2"/>
  <c r="O115" i="2"/>
  <c r="P126" i="2"/>
  <c r="BG114" i="2"/>
  <c r="AZ125" i="2"/>
  <c r="BA108" i="2"/>
  <c r="AL118" i="2"/>
  <c r="BH116" i="2"/>
  <c r="K128" i="2"/>
  <c r="AX105" i="2"/>
  <c r="AK114" i="2"/>
  <c r="T125" i="2"/>
  <c r="AS100" i="2"/>
  <c r="J107" i="2"/>
  <c r="K116" i="2"/>
  <c r="AE129" i="2"/>
  <c r="AG107" i="2"/>
  <c r="AM116" i="2"/>
  <c r="M106" i="2"/>
  <c r="Y115" i="2"/>
  <c r="AR127" i="2"/>
  <c r="AP119" i="2"/>
  <c r="X101" i="2"/>
  <c r="BF107" i="2"/>
  <c r="AB117" i="2"/>
  <c r="AI129" i="2"/>
  <c r="AZ100" i="2"/>
  <c r="AM107" i="2"/>
  <c r="AS116" i="2"/>
  <c r="AD128" i="2"/>
  <c r="AL117" i="2"/>
  <c r="AF128" i="2"/>
  <c r="AQ103" i="2"/>
  <c r="G112" i="2"/>
  <c r="P121" i="2"/>
  <c r="AY119" i="2"/>
  <c r="U128" i="2"/>
  <c r="AP129" i="2"/>
  <c r="BB105" i="2"/>
  <c r="AB113" i="2"/>
  <c r="AG121" i="2"/>
  <c r="AD102" i="2"/>
  <c r="O109" i="3"/>
  <c r="O109" i="2" s="1"/>
  <c r="O110" i="2"/>
  <c r="AD117" i="2"/>
  <c r="O125" i="2"/>
  <c r="K112" i="2"/>
  <c r="BE118" i="2"/>
  <c r="R127" i="2"/>
  <c r="Q129" i="2"/>
  <c r="AW124" i="2"/>
  <c r="AQ120" i="2"/>
  <c r="G127" i="2"/>
  <c r="AV118" i="2"/>
  <c r="BC125" i="2"/>
  <c r="M113" i="2"/>
  <c r="X120" i="2"/>
  <c r="I127" i="2"/>
  <c r="AR122" i="2"/>
  <c r="I129" i="2"/>
  <c r="AB99" i="2"/>
  <c r="AV96" i="2"/>
  <c r="AF71" i="2"/>
  <c r="Q78" i="2"/>
  <c r="AO85" i="2"/>
  <c r="AQ97" i="2"/>
  <c r="H72" i="2"/>
  <c r="BF78" i="2"/>
  <c r="N87" i="2"/>
  <c r="AR100" i="2"/>
  <c r="V93" i="2"/>
  <c r="AG88" i="3"/>
  <c r="AG88" i="2" s="1"/>
  <c r="AG89" i="2"/>
  <c r="Z94" i="2"/>
  <c r="Y90" i="2"/>
  <c r="U66" i="2"/>
  <c r="AV73" i="2"/>
  <c r="AQ80" i="2"/>
  <c r="AY90" i="2"/>
  <c r="AR74" i="2"/>
  <c r="AW81" i="2"/>
  <c r="Q91" i="2"/>
  <c r="AB65" i="2"/>
  <c r="J73" i="2"/>
  <c r="BM79" i="2"/>
  <c r="M88" i="3"/>
  <c r="M88" i="2" s="1"/>
  <c r="M89" i="2"/>
  <c r="AR97" i="2"/>
  <c r="BH107" i="2"/>
  <c r="AS94" i="2"/>
  <c r="O103" i="2"/>
  <c r="AG119" i="2"/>
  <c r="AY98" i="2"/>
  <c r="AW109" i="3"/>
  <c r="AW109" i="2" s="1"/>
  <c r="AW110" i="2"/>
  <c r="AF93" i="2"/>
  <c r="BM101" i="2"/>
  <c r="AY118" i="2"/>
  <c r="BK99" i="2"/>
  <c r="L113" i="2"/>
  <c r="BC104" i="2"/>
  <c r="O99" i="2"/>
  <c r="BI109" i="3"/>
  <c r="BI109" i="2" s="1"/>
  <c r="BI110" i="2"/>
  <c r="BE98" i="2"/>
  <c r="BK109" i="3"/>
  <c r="BK109" i="2" s="1"/>
  <c r="BK110" i="2"/>
  <c r="AU91" i="2"/>
  <c r="AH98" i="2"/>
  <c r="M109" i="3"/>
  <c r="M109" i="2" s="1"/>
  <c r="M110" i="2"/>
  <c r="L98" i="2"/>
  <c r="BK108" i="2"/>
  <c r="BC94" i="2"/>
  <c r="AI102" i="2"/>
  <c r="W84" i="2"/>
  <c r="AX91" i="2"/>
  <c r="AL98" i="2"/>
  <c r="AA113" i="2"/>
  <c r="X84" i="2"/>
  <c r="AY91" i="2"/>
  <c r="BK98" i="2"/>
  <c r="V114" i="2"/>
  <c r="Q121" i="2"/>
  <c r="AN113" i="2"/>
  <c r="L83" i="2"/>
  <c r="BG90" i="2"/>
  <c r="AM97" i="2"/>
  <c r="AG109" i="3"/>
  <c r="AG109" i="2" s="1"/>
  <c r="AG110" i="2"/>
  <c r="AQ81" i="2"/>
  <c r="Y88" i="3"/>
  <c r="Y88" i="2" s="1"/>
  <c r="Y89" i="2"/>
  <c r="BH95" i="2"/>
  <c r="G104" i="2"/>
  <c r="BJ125" i="2"/>
  <c r="O126" i="2"/>
  <c r="AN115" i="2"/>
  <c r="BG126" i="2"/>
  <c r="P115" i="2"/>
  <c r="S126" i="2"/>
  <c r="W109" i="3"/>
  <c r="W109" i="2" s="1"/>
  <c r="W110" i="2"/>
  <c r="AD119" i="2"/>
  <c r="U117" i="2"/>
  <c r="AT128" i="2"/>
  <c r="G106" i="2"/>
  <c r="BJ114" i="2"/>
  <c r="BI125" i="2"/>
  <c r="BM100" i="2"/>
  <c r="AF107" i="2"/>
  <c r="AJ116" i="2"/>
  <c r="U101" i="2"/>
  <c r="BC107" i="2"/>
  <c r="BL116" i="2"/>
  <c r="AI106" i="2"/>
  <c r="BA115" i="2"/>
  <c r="Q128" i="2"/>
  <c r="AL120" i="2"/>
  <c r="AR101" i="2"/>
  <c r="O108" i="2"/>
  <c r="BG117" i="2"/>
  <c r="AP94" i="2"/>
  <c r="G101" i="2"/>
  <c r="BI107" i="2"/>
  <c r="AJ117" i="2"/>
  <c r="AV129" i="2"/>
  <c r="BM117" i="2"/>
  <c r="AY129" i="2"/>
  <c r="BL103" i="2"/>
  <c r="AH112" i="2"/>
  <c r="AX121" i="2"/>
  <c r="H120" i="2"/>
  <c r="AX128" i="2"/>
  <c r="Z123" i="2"/>
  <c r="I106" i="2"/>
  <c r="AW113" i="2"/>
  <c r="BG121" i="2"/>
  <c r="AX102" i="2"/>
  <c r="AJ109" i="3"/>
  <c r="AJ109" i="2" s="1"/>
  <c r="AJ110" i="2"/>
  <c r="BB117" i="2"/>
  <c r="AO125" i="2"/>
  <c r="AF112" i="2"/>
  <c r="M119" i="2"/>
  <c r="AU127" i="2"/>
  <c r="AL129" i="2"/>
  <c r="Z125" i="2"/>
  <c r="BL120" i="2"/>
  <c r="AB127" i="2"/>
  <c r="Y119" i="2"/>
  <c r="J126" i="2"/>
  <c r="AG113" i="2"/>
  <c r="AS120" i="2"/>
  <c r="AD127" i="2"/>
  <c r="BL122" i="2"/>
  <c r="AC129" i="2"/>
  <c r="W74" i="2"/>
  <c r="Y81" i="2"/>
  <c r="P91" i="2"/>
  <c r="BL74" i="2"/>
  <c r="G82" i="2"/>
  <c r="AR91" i="2"/>
  <c r="AV65" i="2"/>
  <c r="AD73" i="2"/>
  <c r="V80" i="2"/>
  <c r="AM88" i="3"/>
  <c r="AM88" i="2" s="1"/>
  <c r="AM89" i="2"/>
  <c r="X98" i="2"/>
  <c r="AK108" i="2"/>
  <c r="V95" i="2"/>
  <c r="AU103" i="2"/>
  <c r="AO120" i="2"/>
  <c r="I99" i="2"/>
  <c r="AA111" i="2"/>
  <c r="AZ93" i="2"/>
  <c r="Z102" i="2"/>
  <c r="AX119" i="2"/>
  <c r="U100" i="2"/>
  <c r="BI114" i="2"/>
  <c r="V105" i="2"/>
  <c r="AO99" i="2"/>
  <c r="AP111" i="2"/>
  <c r="P99" i="2"/>
  <c r="AR111" i="2"/>
  <c r="V92" i="2"/>
  <c r="BF98" i="2"/>
  <c r="BL109" i="3"/>
  <c r="BL109" i="2" s="1"/>
  <c r="BL110" i="2"/>
  <c r="AJ98" i="2"/>
  <c r="R109" i="3"/>
  <c r="R109" i="2" s="1"/>
  <c r="R110" i="2"/>
  <c r="K95" i="2"/>
  <c r="AD103" i="2"/>
  <c r="AQ84" i="2"/>
  <c r="Y92" i="2"/>
  <c r="BI98" i="2"/>
  <c r="T114" i="2"/>
  <c r="AR84" i="2"/>
  <c r="Z92" i="2"/>
  <c r="W99" i="2"/>
  <c r="L115" i="2"/>
  <c r="AS122" i="2"/>
  <c r="AE114" i="2"/>
  <c r="AF83" i="2"/>
  <c r="N91" i="2"/>
  <c r="BK97" i="2"/>
  <c r="I111" i="2"/>
  <c r="BK81" i="2"/>
  <c r="AS88" i="3"/>
  <c r="AS88" i="2" s="1"/>
  <c r="AS89" i="2"/>
  <c r="P96" i="2"/>
  <c r="AO104" i="2"/>
  <c r="O127" i="2"/>
  <c r="BC126" i="2"/>
  <c r="AA116" i="2"/>
  <c r="AA127" i="2"/>
  <c r="AO115" i="2"/>
  <c r="BH126" i="2"/>
  <c r="AU109" i="3"/>
  <c r="AU109" i="2" s="1"/>
  <c r="AU110" i="2"/>
  <c r="BI119" i="2"/>
  <c r="AU117" i="2"/>
  <c r="U129" i="2"/>
  <c r="AE106" i="2"/>
  <c r="S115" i="2"/>
  <c r="Y126" i="2"/>
  <c r="T101" i="2"/>
  <c r="BB107" i="2"/>
  <c r="BK116" i="2"/>
  <c r="AO101" i="2"/>
  <c r="L108" i="2"/>
  <c r="Y117" i="2"/>
  <c r="BE106" i="2"/>
  <c r="M116" i="2"/>
  <c r="BF128" i="2"/>
  <c r="AL121" i="2"/>
  <c r="BL101" i="2"/>
  <c r="AL108" i="2"/>
  <c r="U118" i="2"/>
  <c r="BJ94" i="2"/>
  <c r="AA101" i="2"/>
  <c r="R108" i="2"/>
  <c r="BJ117" i="2"/>
  <c r="BD127" i="2"/>
  <c r="Z118" i="2"/>
  <c r="J97" i="2"/>
  <c r="U104" i="2"/>
  <c r="BG112" i="2"/>
  <c r="O122" i="2"/>
  <c r="AG120" i="2"/>
  <c r="H129" i="2"/>
  <c r="AZ123" i="2"/>
  <c r="AC106" i="2"/>
  <c r="Z114" i="2"/>
  <c r="U122" i="2"/>
  <c r="Y103" i="2"/>
  <c r="BE109" i="3"/>
  <c r="BE109" i="2" s="1"/>
  <c r="BE110" i="2"/>
  <c r="K118" i="2"/>
  <c r="AB126" i="2"/>
  <c r="BA112" i="2"/>
  <c r="AN119" i="2"/>
  <c r="J128" i="2"/>
  <c r="BG129" i="2"/>
  <c r="AU125" i="2"/>
  <c r="T121" i="2"/>
  <c r="AW127" i="2"/>
  <c r="AT119" i="2"/>
  <c r="AE126" i="2"/>
  <c r="BA113" i="2"/>
  <c r="V121" i="2"/>
  <c r="AY127" i="2"/>
  <c r="S123" i="2"/>
  <c r="AW129" i="2"/>
  <c r="AD82" i="2"/>
  <c r="AI92" i="2"/>
  <c r="W66" i="2"/>
  <c r="AX73" i="2"/>
  <c r="AT80" i="2"/>
  <c r="AB90" i="2"/>
  <c r="AV98" i="2"/>
  <c r="AP109" i="3"/>
  <c r="AP109" i="2" s="1"/>
  <c r="AP110" i="2"/>
  <c r="AQ95" i="2"/>
  <c r="O104" i="2"/>
  <c r="AZ121" i="2"/>
  <c r="AI99" i="2"/>
  <c r="M112" i="2"/>
  <c r="G94" i="2"/>
  <c r="BB102" i="2"/>
  <c r="BA120" i="2"/>
  <c r="AV100" i="2"/>
  <c r="AU115" i="2"/>
  <c r="BE105" i="2"/>
  <c r="BM99" i="2"/>
  <c r="AA112" i="2"/>
  <c r="AP99" i="2"/>
  <c r="AC112" i="2"/>
  <c r="AP92" i="2"/>
  <c r="R99" i="2"/>
  <c r="AT111" i="2"/>
  <c r="BG98" i="2"/>
  <c r="AW111" i="2"/>
  <c r="AF95" i="2"/>
  <c r="BK103" i="2"/>
  <c r="BK84" i="2"/>
  <c r="AS92" i="2"/>
  <c r="V99" i="2"/>
  <c r="I115" i="2"/>
  <c r="BL84" i="2"/>
  <c r="AT92" i="2"/>
  <c r="AU99" i="2"/>
  <c r="I120" i="2"/>
  <c r="AK125" i="2"/>
  <c r="N115" i="2"/>
  <c r="AZ83" i="2"/>
  <c r="AH91" i="2"/>
  <c r="S98" i="2"/>
  <c r="BD112" i="2"/>
  <c r="R82" i="2"/>
  <c r="BM88" i="3"/>
  <c r="BM88" i="2" s="1"/>
  <c r="BM89" i="2"/>
  <c r="AK96" i="2"/>
  <c r="AO105" i="2"/>
  <c r="J129" i="2"/>
  <c r="Z127" i="2"/>
  <c r="BC116" i="2"/>
  <c r="AQ128" i="2"/>
  <c r="AE116" i="2"/>
  <c r="AE127" i="2"/>
  <c r="AD111" i="2"/>
  <c r="AB120" i="2"/>
  <c r="M118" i="2"/>
  <c r="BM129" i="2"/>
  <c r="BA106" i="2"/>
  <c r="AT115" i="2"/>
  <c r="BK126" i="2"/>
  <c r="AN101" i="2"/>
  <c r="K108" i="2"/>
  <c r="X117" i="2"/>
  <c r="BI101" i="2"/>
  <c r="AI108" i="2"/>
  <c r="BD117" i="2"/>
  <c r="L107" i="2"/>
  <c r="AN116" i="2"/>
  <c r="AG129" i="2"/>
  <c r="AO122" i="2"/>
  <c r="S102" i="2"/>
  <c r="BL108" i="2"/>
  <c r="AX118" i="2"/>
  <c r="Q95" i="2"/>
  <c r="AU101" i="2"/>
  <c r="AR108" i="2"/>
  <c r="X118" i="2"/>
  <c r="AE128" i="2"/>
  <c r="BF118" i="2"/>
  <c r="AD97" i="2"/>
  <c r="AP104" i="2"/>
  <c r="R113" i="2"/>
  <c r="AZ122" i="2"/>
  <c r="BH120" i="2"/>
  <c r="AJ129" i="2"/>
  <c r="Q124" i="2"/>
  <c r="AW106" i="2"/>
  <c r="AX114" i="2"/>
  <c r="AU122" i="2"/>
  <c r="AS103" i="2"/>
  <c r="L111" i="2"/>
  <c r="AG118" i="2"/>
  <c r="BE126" i="2"/>
  <c r="I113" i="2"/>
  <c r="BM119" i="2"/>
  <c r="AK128" i="2"/>
  <c r="Q119" i="2"/>
  <c r="W126" i="2"/>
  <c r="AO121" i="2"/>
  <c r="Z128" i="2"/>
  <c r="W120" i="2"/>
  <c r="AZ126" i="2"/>
  <c r="H114" i="2"/>
  <c r="AQ121" i="2"/>
  <c r="G128" i="2"/>
  <c r="AM123" i="2"/>
  <c r="AC99" i="2"/>
  <c r="AA72" i="2"/>
  <c r="L79" i="2"/>
  <c r="K87" i="2"/>
  <c r="AN100" i="2"/>
  <c r="W73" i="2"/>
  <c r="BF79" i="2"/>
  <c r="AE88" i="3"/>
  <c r="AE88" i="2" s="1"/>
  <c r="AE89" i="2"/>
  <c r="BE107" i="2"/>
  <c r="BK94" i="2"/>
  <c r="AV90" i="2"/>
  <c r="M96" i="2"/>
  <c r="AO91" i="2"/>
  <c r="M67" i="3"/>
  <c r="M67" i="2" s="1"/>
  <c r="M68" i="2"/>
  <c r="BK74" i="2"/>
  <c r="AC82" i="2"/>
  <c r="AH92" i="2"/>
  <c r="AM75" i="2"/>
  <c r="BA82" i="2"/>
  <c r="AD93" i="2"/>
  <c r="AQ66" i="2"/>
  <c r="Y74" i="2"/>
  <c r="AA81" i="2"/>
  <c r="BB90" i="2"/>
  <c r="AE99" i="2"/>
  <c r="U111" i="2"/>
  <c r="BL95" i="2"/>
  <c r="AT104" i="2"/>
  <c r="AE124" i="2"/>
  <c r="BI99" i="2"/>
  <c r="BL113" i="2"/>
  <c r="AA94" i="2"/>
  <c r="T103" i="2"/>
  <c r="N123" i="2"/>
  <c r="I101" i="2"/>
  <c r="AR116" i="2"/>
  <c r="X106" i="2"/>
  <c r="X100" i="2"/>
  <c r="P113" i="2"/>
  <c r="Z100" i="2"/>
  <c r="S113" i="2"/>
  <c r="BJ92" i="2"/>
  <c r="AQ99" i="2"/>
  <c r="AI112" i="2"/>
  <c r="S99" i="2"/>
  <c r="AJ112" i="2"/>
  <c r="BA95" i="2"/>
  <c r="AD104" i="2"/>
  <c r="R85" i="2"/>
  <c r="BM92" i="2"/>
  <c r="AT99" i="2"/>
  <c r="K121" i="2"/>
  <c r="S85" i="2"/>
  <c r="U93" i="2"/>
  <c r="AG100" i="2"/>
  <c r="M121" i="2"/>
  <c r="AJ100" i="2"/>
  <c r="J119" i="2"/>
  <c r="G84" i="2"/>
  <c r="BB91" i="2"/>
  <c r="AQ98" i="2"/>
  <c r="AQ113" i="2"/>
  <c r="AL82" i="2"/>
  <c r="T90" i="2"/>
  <c r="BG96" i="2"/>
  <c r="AS106" i="2"/>
  <c r="AS125" i="2"/>
  <c r="AP128" i="2"/>
  <c r="Q117" i="2"/>
  <c r="O129" i="2"/>
  <c r="BD116" i="2"/>
  <c r="AR128" i="2"/>
  <c r="BE111" i="2"/>
  <c r="BG120" i="2"/>
  <c r="AM118" i="2"/>
  <c r="W100" i="2"/>
  <c r="H107" i="2"/>
  <c r="I116" i="2"/>
  <c r="AK127" i="2"/>
  <c r="BH101" i="2"/>
  <c r="AH108" i="2"/>
  <c r="AX117" i="2"/>
  <c r="P102" i="2"/>
  <c r="BF108" i="2"/>
  <c r="Q118" i="2"/>
  <c r="AH107" i="2"/>
  <c r="BM116" i="2"/>
  <c r="X112" i="2"/>
  <c r="K123" i="2"/>
  <c r="AN102" i="2"/>
  <c r="G109" i="3"/>
  <c r="G109" i="2" s="1"/>
  <c r="G110" i="2"/>
  <c r="I119" i="2"/>
  <c r="AK95" i="2"/>
  <c r="V102" i="2"/>
  <c r="K109" i="3"/>
  <c r="K109" i="2" s="1"/>
  <c r="K110" i="2"/>
  <c r="BA118" i="2"/>
  <c r="AX129" i="2"/>
  <c r="R119" i="2"/>
  <c r="AX97" i="2"/>
  <c r="BK104" i="2"/>
  <c r="AP113" i="2"/>
  <c r="W123" i="2"/>
  <c r="S121" i="2"/>
  <c r="J122" i="2"/>
  <c r="AQ124" i="2"/>
  <c r="X107" i="2"/>
  <c r="AA115" i="2"/>
  <c r="G123" i="2"/>
  <c r="BM103" i="2"/>
  <c r="AG111" i="2"/>
  <c r="BD118" i="2"/>
  <c r="Q127" i="2"/>
  <c r="AD113" i="2"/>
  <c r="Y120" i="2"/>
  <c r="BM128" i="2"/>
  <c r="AL119" i="2"/>
  <c r="AS126" i="2"/>
  <c r="BJ121" i="2"/>
  <c r="AU128" i="2"/>
  <c r="AR120" i="2"/>
  <c r="H127" i="2"/>
  <c r="AB114" i="2"/>
  <c r="BL121" i="2"/>
  <c r="AB128" i="2"/>
  <c r="BG123" i="2"/>
  <c r="S100" i="2"/>
  <c r="BD114" i="2"/>
  <c r="AV94" i="2"/>
  <c r="AY103" i="2"/>
  <c r="BC124" i="2"/>
  <c r="AJ101" i="2"/>
  <c r="AP117" i="2"/>
  <c r="BK106" i="2"/>
  <c r="AY100" i="2"/>
  <c r="BE115" i="2"/>
  <c r="BA100" i="2"/>
  <c r="BG115" i="2"/>
  <c r="Q93" i="2"/>
  <c r="AA100" i="2"/>
  <c r="T113" i="2"/>
  <c r="AR99" i="2"/>
  <c r="U113" i="2"/>
  <c r="I96" i="2"/>
  <c r="BL104" i="2"/>
  <c r="AL85" i="2"/>
  <c r="T93" i="2"/>
  <c r="AE100" i="2"/>
  <c r="AE122" i="2"/>
  <c r="AM85" i="2"/>
  <c r="AO93" i="2"/>
  <c r="BG100" i="2"/>
  <c r="AQ122" i="2"/>
  <c r="BI100" i="2"/>
  <c r="L120" i="2"/>
  <c r="AA84" i="2"/>
  <c r="I92" i="2"/>
  <c r="Z99" i="2"/>
  <c r="AF114" i="2"/>
  <c r="BF82" i="2"/>
  <c r="AN90" i="2"/>
  <c r="Q97" i="2"/>
  <c r="P107" i="2"/>
  <c r="L126" i="2"/>
  <c r="K129" i="2"/>
  <c r="AR117" i="2"/>
  <c r="BJ129" i="2"/>
  <c r="R117" i="2"/>
  <c r="P129" i="2"/>
  <c r="P112" i="2"/>
  <c r="Z121" i="2"/>
  <c r="AE119" i="2"/>
  <c r="AQ100" i="2"/>
  <c r="AD107" i="2"/>
  <c r="AH116" i="2"/>
  <c r="L128" i="2"/>
  <c r="O102" i="2"/>
  <c r="BE108" i="2"/>
  <c r="P118" i="2"/>
  <c r="AK102" i="2"/>
  <c r="AC109" i="3"/>
  <c r="AC109" i="2" s="1"/>
  <c r="AC110" i="2"/>
  <c r="AS118" i="2"/>
  <c r="BD107" i="2"/>
  <c r="Z117" i="2"/>
  <c r="AV112" i="2"/>
  <c r="AT123" i="2"/>
  <c r="BI102" i="2"/>
  <c r="AF109" i="3"/>
  <c r="AF109" i="2" s="1"/>
  <c r="AF110" i="2"/>
  <c r="AQ119" i="2"/>
  <c r="BE95" i="2"/>
  <c r="AQ102" i="2"/>
  <c r="AL109" i="3"/>
  <c r="AL109" i="2" s="1"/>
  <c r="AL110" i="2"/>
  <c r="O119" i="2"/>
  <c r="V111" i="2"/>
  <c r="AZ119" i="2"/>
  <c r="Y98" i="2"/>
  <c r="T105" i="2"/>
  <c r="X114" i="2"/>
  <c r="BI123" i="2"/>
  <c r="AU121" i="2"/>
  <c r="AJ122" i="2"/>
  <c r="AE125" i="2"/>
  <c r="AR107" i="2"/>
  <c r="AW115" i="2"/>
  <c r="AG123" i="2"/>
  <c r="T104" i="2"/>
  <c r="BB111" i="2"/>
  <c r="L119" i="2"/>
  <c r="AT127" i="2"/>
  <c r="AY113" i="2"/>
  <c r="AX120" i="2"/>
  <c r="AA129" i="2"/>
  <c r="BH119" i="2"/>
  <c r="V127" i="2"/>
  <c r="Q122" i="2"/>
  <c r="X129" i="2"/>
  <c r="BM120" i="2"/>
  <c r="AC127" i="2"/>
  <c r="AV114" i="2"/>
  <c r="S122" i="2"/>
  <c r="AW128" i="2"/>
  <c r="N124" i="2"/>
  <c r="N90" i="2"/>
  <c r="AR114" i="2"/>
  <c r="AV103" i="2"/>
  <c r="V73" i="2"/>
  <c r="BE79" i="2"/>
  <c r="BI87" i="2"/>
  <c r="W107" i="2"/>
  <c r="BK73" i="2"/>
  <c r="AL80" i="2"/>
  <c r="U90" i="2"/>
  <c r="AE120" i="2"/>
  <c r="BH96" i="2"/>
  <c r="AM91" i="2"/>
  <c r="BI97" i="2"/>
  <c r="BI92" i="2"/>
  <c r="BA67" i="3"/>
  <c r="BA67" i="2" s="1"/>
  <c r="BA68" i="2"/>
  <c r="AL75" i="2"/>
  <c r="K83" i="2"/>
  <c r="AB93" i="2"/>
  <c r="N76" i="2"/>
  <c r="AK83" i="2"/>
  <c r="AE94" i="2"/>
  <c r="O67" i="3"/>
  <c r="O67" i="2" s="1"/>
  <c r="O68" i="2"/>
  <c r="BM74" i="2"/>
  <c r="H82" i="2"/>
  <c r="AS91" i="2"/>
  <c r="P100" i="2"/>
  <c r="AS114" i="2"/>
  <c r="AO96" i="2"/>
  <c r="AT105" i="2"/>
  <c r="BE129" i="2"/>
  <c r="AT100" i="2"/>
  <c r="AM115" i="2"/>
  <c r="Y95" i="2"/>
  <c r="S104" i="2"/>
  <c r="M126" i="2"/>
  <c r="AA102" i="2"/>
  <c r="AZ118" i="2"/>
  <c r="AE107" i="2"/>
  <c r="L101" i="2"/>
  <c r="AW116" i="2"/>
  <c r="M101" i="2"/>
  <c r="BA116" i="2"/>
  <c r="AK93" i="2"/>
  <c r="BB100" i="2"/>
  <c r="K114" i="2"/>
  <c r="AB100" i="2"/>
  <c r="M114" i="2"/>
  <c r="AD96" i="2"/>
  <c r="AC105" i="2"/>
  <c r="BF85" i="2"/>
  <c r="AN93" i="2"/>
  <c r="BF100" i="2"/>
  <c r="BM123" i="2"/>
  <c r="BG85" i="2"/>
  <c r="BI93" i="2"/>
  <c r="S101" i="2"/>
  <c r="AJ125" i="2"/>
  <c r="W101" i="2"/>
  <c r="R121" i="2"/>
  <c r="AU84" i="2"/>
  <c r="AC92" i="2"/>
  <c r="AY99" i="2"/>
  <c r="R115" i="2"/>
  <c r="M83" i="2"/>
  <c r="BH90" i="2"/>
  <c r="AO97" i="2"/>
  <c r="BA107" i="2"/>
  <c r="AX126" i="2"/>
  <c r="BF129" i="2"/>
  <c r="AJ118" i="2"/>
  <c r="AW107" i="2"/>
  <c r="AS117" i="2"/>
  <c r="BK129" i="2"/>
  <c r="AO112" i="2"/>
  <c r="BE121" i="2"/>
  <c r="BJ119" i="2"/>
  <c r="BK100" i="2"/>
  <c r="AZ107" i="2"/>
  <c r="BI116" i="2"/>
  <c r="AY128" i="2"/>
  <c r="AJ102" i="2"/>
  <c r="AA109" i="3"/>
  <c r="AA109" i="2" s="1"/>
  <c r="AA110" i="2"/>
  <c r="AQ118" i="2"/>
  <c r="BF102" i="2"/>
  <c r="BA109" i="3"/>
  <c r="BA109" i="2" s="1"/>
  <c r="BA110" i="2"/>
  <c r="AI119" i="2"/>
  <c r="M108" i="2"/>
  <c r="BE117" i="2"/>
  <c r="J113" i="2"/>
  <c r="U124" i="2"/>
  <c r="P103" i="2"/>
  <c r="BG109" i="3"/>
  <c r="BG109" i="2" s="1"/>
  <c r="BG110" i="2"/>
  <c r="G120" i="2"/>
  <c r="L96" i="2"/>
  <c r="BL102" i="2"/>
  <c r="BJ109" i="3"/>
  <c r="BJ109" i="2" s="1"/>
  <c r="BJ110" i="2"/>
  <c r="AW119" i="2"/>
  <c r="AU111" i="2"/>
  <c r="M120" i="2"/>
  <c r="AS98" i="2"/>
  <c r="AP105" i="2"/>
  <c r="BB114" i="2"/>
  <c r="AG124" i="2"/>
  <c r="G122" i="2"/>
  <c r="BM122" i="2"/>
  <c r="BH125" i="2"/>
  <c r="BL107" i="2"/>
  <c r="AB116" i="2"/>
  <c r="BJ123" i="2"/>
  <c r="AN104" i="2"/>
  <c r="J112" i="2"/>
  <c r="AK119" i="2"/>
  <c r="I128" i="2"/>
  <c r="G114" i="2"/>
  <c r="J121" i="2"/>
  <c r="BC129" i="2"/>
  <c r="P120" i="2"/>
  <c r="AQ127" i="2"/>
  <c r="AL122" i="2"/>
  <c r="AS129" i="2"/>
  <c r="U121" i="2"/>
  <c r="AX127" i="2"/>
  <c r="W115" i="2"/>
  <c r="AN122" i="2"/>
  <c r="Z129" i="2"/>
  <c r="AH124" i="2"/>
  <c r="AB122" i="2"/>
  <c r="AC120" i="2"/>
  <c r="R101" i="2"/>
  <c r="I108" i="2"/>
  <c r="V117" i="2"/>
  <c r="AB129" i="2"/>
  <c r="BE102" i="2"/>
  <c r="AZ109" i="3"/>
  <c r="AZ109" i="2" s="1"/>
  <c r="AZ110" i="2"/>
  <c r="AH119" i="2"/>
  <c r="M103" i="2"/>
  <c r="N111" i="2"/>
  <c r="AI120" i="2"/>
  <c r="AJ108" i="2"/>
  <c r="R118" i="2"/>
  <c r="AI113" i="2"/>
  <c r="BJ124" i="2"/>
  <c r="AK103" i="2"/>
  <c r="Q111" i="2"/>
  <c r="AM120" i="2"/>
  <c r="AF96" i="2"/>
  <c r="S103" i="2"/>
  <c r="T111" i="2"/>
  <c r="K120" i="2"/>
  <c r="AG112" i="2"/>
  <c r="AU120" i="2"/>
  <c r="BM98" i="2"/>
  <c r="BL105" i="2"/>
  <c r="K115" i="2"/>
  <c r="AR125" i="2"/>
  <c r="AG122" i="2"/>
  <c r="Y123" i="2"/>
  <c r="R126" i="2"/>
  <c r="S108" i="2"/>
  <c r="AX116" i="2"/>
  <c r="W124" i="2"/>
  <c r="BH104" i="2"/>
  <c r="AE112" i="2"/>
  <c r="BL119" i="2"/>
  <c r="AJ128" i="2"/>
  <c r="AD114" i="2"/>
  <c r="AJ121" i="2"/>
  <c r="AA124" i="2"/>
  <c r="AK120" i="2"/>
  <c r="BL127" i="2"/>
  <c r="BG122" i="2"/>
  <c r="AA114" i="2"/>
  <c r="AP121" i="2"/>
  <c r="AA128" i="2"/>
  <c r="AQ115" i="2"/>
  <c r="BI122" i="2"/>
  <c r="AU129" i="2"/>
  <c r="BB124" i="2"/>
  <c r="BE57" i="2"/>
  <c r="AR64" i="2"/>
  <c r="X73" i="2"/>
  <c r="BE90" i="2"/>
  <c r="AJ45" i="2"/>
  <c r="R53" i="2"/>
  <c r="AV59" i="2"/>
  <c r="AE67" i="3"/>
  <c r="AE67" i="2" s="1"/>
  <c r="AE68" i="2"/>
  <c r="AC78" i="2"/>
  <c r="Q41" i="2"/>
  <c r="BL48" i="2"/>
  <c r="AC55" i="2"/>
  <c r="N62" i="2"/>
  <c r="AE71" i="2"/>
  <c r="T85" i="2"/>
  <c r="AO86" i="2"/>
  <c r="AQ108" i="2"/>
  <c r="BJ90" i="2"/>
  <c r="BC77" i="2"/>
  <c r="BD85" i="2"/>
  <c r="S97" i="2"/>
  <c r="AE78" i="2"/>
  <c r="AR86" i="2"/>
  <c r="Q98" i="2"/>
  <c r="V83" i="2"/>
  <c r="J93" i="2"/>
  <c r="H75" i="2"/>
  <c r="BF81" i="2"/>
  <c r="BF91" i="2"/>
  <c r="M90" i="2"/>
  <c r="AK81" i="2"/>
  <c r="AF91" i="2"/>
  <c r="AC88" i="3"/>
  <c r="AC88" i="2" s="1"/>
  <c r="AC89" i="2"/>
  <c r="S107" i="2"/>
  <c r="BJ73" i="2"/>
  <c r="AK80" i="2"/>
  <c r="BC88" i="3"/>
  <c r="BC88" i="2" s="1"/>
  <c r="BC89" i="2"/>
  <c r="S120" i="2"/>
  <c r="AL74" i="2"/>
  <c r="Q81" i="2"/>
  <c r="AK91" i="2"/>
  <c r="O87" i="2"/>
  <c r="AO98" i="2"/>
  <c r="BG92" i="2"/>
  <c r="BA99" i="2"/>
  <c r="BF93" i="2"/>
  <c r="AB69" i="2"/>
  <c r="M76" i="2"/>
  <c r="BG83" i="2"/>
  <c r="AD94" i="2"/>
  <c r="BB76" i="2"/>
  <c r="Q84" i="2"/>
  <c r="R96" i="2"/>
  <c r="BC67" i="3"/>
  <c r="BC67" i="2" s="1"/>
  <c r="BC68" i="2"/>
  <c r="AN75" i="2"/>
  <c r="BC82" i="2"/>
  <c r="AJ92" i="2"/>
  <c r="AE101" i="2"/>
  <c r="X116" i="2"/>
  <c r="V97" i="2"/>
  <c r="AZ106" i="2"/>
  <c r="Z116" i="2"/>
  <c r="BK101" i="2"/>
  <c r="AK117" i="2"/>
  <c r="W96" i="2"/>
  <c r="S105" i="2"/>
  <c r="AB94" i="2"/>
  <c r="U103" i="2"/>
  <c r="BK120" i="2"/>
  <c r="I109" i="3"/>
  <c r="I109" i="2" s="1"/>
  <c r="I110" i="2"/>
  <c r="AC102" i="2"/>
  <c r="BH118" i="2"/>
  <c r="AE102" i="2"/>
  <c r="BI118" i="2"/>
  <c r="L94" i="2"/>
  <c r="AQ101" i="2"/>
  <c r="BB116" i="2"/>
  <c r="O101" i="2"/>
  <c r="BJ116" i="2"/>
  <c r="K97" i="2"/>
  <c r="AJ106" i="2"/>
  <c r="AG86" i="2"/>
  <c r="O94" i="2"/>
  <c r="AV101" i="2"/>
  <c r="AW79" i="2"/>
  <c r="AH86" i="2"/>
  <c r="AJ94" i="2"/>
  <c r="I102" i="2"/>
  <c r="AJ104" i="2"/>
  <c r="K102" i="2"/>
  <c r="AM125" i="2"/>
  <c r="AP85" i="2"/>
  <c r="X93" i="2"/>
  <c r="AK100" i="2"/>
  <c r="O118" i="2"/>
  <c r="BA83" i="2"/>
  <c r="AI91" i="2"/>
  <c r="T98" i="2"/>
  <c r="AH109" i="3"/>
  <c r="AH109" i="2" s="1"/>
  <c r="AH110" i="2"/>
  <c r="BI127" i="2"/>
  <c r="AY108" i="2"/>
  <c r="AB119" i="2"/>
  <c r="AZ108" i="2"/>
  <c r="BM118" i="2"/>
  <c r="AC103" i="2"/>
  <c r="X113" i="2"/>
  <c r="BK122" i="2"/>
  <c r="BI120" i="2"/>
  <c r="AL101" i="2"/>
  <c r="AF108" i="2"/>
  <c r="AV117" i="2"/>
  <c r="AS96" i="2"/>
  <c r="L103" i="2"/>
  <c r="J111" i="2"/>
  <c r="AF120" i="2"/>
  <c r="AH103" i="2"/>
  <c r="AL111" i="2"/>
  <c r="AF121" i="2"/>
  <c r="BJ108" i="2"/>
  <c r="AT118" i="2"/>
  <c r="BG113" i="2"/>
  <c r="AB125" i="2"/>
  <c r="BF103" i="2"/>
  <c r="AO111" i="2"/>
  <c r="AM121" i="2"/>
  <c r="AZ96" i="2"/>
  <c r="AN103" i="2"/>
  <c r="AS111" i="2"/>
  <c r="AP120" i="2"/>
  <c r="BE112" i="2"/>
  <c r="O121" i="2"/>
  <c r="T99" i="2"/>
  <c r="U106" i="2"/>
  <c r="AJ115" i="2"/>
  <c r="H126" i="2"/>
  <c r="BF122" i="2"/>
  <c r="AX123" i="2"/>
  <c r="AU126" i="2"/>
  <c r="AM108" i="2"/>
  <c r="G117" i="2"/>
  <c r="AY124" i="2"/>
  <c r="O105" i="2"/>
  <c r="AZ112" i="2"/>
  <c r="U120" i="2"/>
  <c r="BL128" i="2"/>
  <c r="AZ114" i="2"/>
  <c r="BI121" i="2"/>
  <c r="AV124" i="2"/>
  <c r="BF120" i="2"/>
  <c r="T128" i="2"/>
  <c r="O123" i="2"/>
  <c r="AU114" i="2"/>
  <c r="BK121" i="2"/>
  <c r="AV128" i="2"/>
  <c r="BK115" i="2"/>
  <c r="Q123" i="2"/>
  <c r="AR118" i="2"/>
  <c r="I125" i="2"/>
  <c r="BB88" i="3"/>
  <c r="BB88" i="2" s="1"/>
  <c r="BB89" i="2"/>
  <c r="BC114" i="2"/>
  <c r="Q74" i="2"/>
  <c r="BH80" i="2"/>
  <c r="R90" i="2"/>
  <c r="H67" i="3"/>
  <c r="H67" i="2" s="1"/>
  <c r="H68" i="2"/>
  <c r="BF74" i="2"/>
  <c r="AO81" i="2"/>
  <c r="BL91" i="2"/>
  <c r="AM87" i="2"/>
  <c r="AV99" i="2"/>
  <c r="W93" i="2"/>
  <c r="W102" i="2"/>
  <c r="AC94" i="2"/>
  <c r="AV69" i="2"/>
  <c r="AG76" i="2"/>
  <c r="P84" i="2"/>
  <c r="AN95" i="2"/>
  <c r="I77" i="2"/>
  <c r="AO84" i="2"/>
  <c r="BD98" i="2"/>
  <c r="J69" i="2"/>
  <c r="BH75" i="2"/>
  <c r="O83" i="2"/>
  <c r="AE93" i="2"/>
  <c r="BE101" i="2"/>
  <c r="W117" i="2"/>
  <c r="AS97" i="2"/>
  <c r="V107" i="2"/>
  <c r="AI117" i="2"/>
  <c r="X102" i="2"/>
  <c r="AO118" i="2"/>
  <c r="AR96" i="2"/>
  <c r="AY105" i="2"/>
  <c r="AW94" i="2"/>
  <c r="BA103" i="2"/>
  <c r="T123" i="2"/>
  <c r="BH109" i="3"/>
  <c r="BH109" i="2" s="1"/>
  <c r="BH110" i="2"/>
  <c r="BH102" i="2"/>
  <c r="BD119" i="2"/>
  <c r="BJ102" i="2"/>
  <c r="I122" i="2"/>
  <c r="AF94" i="2"/>
  <c r="AF102" i="2"/>
  <c r="BI117" i="2"/>
  <c r="AS101" i="2"/>
  <c r="BL117" i="2"/>
  <c r="AH97" i="2"/>
  <c r="AO107" i="2"/>
  <c r="BA86" i="2"/>
  <c r="AI94" i="2"/>
  <c r="H102" i="2"/>
  <c r="X80" i="2"/>
  <c r="BB86" i="2"/>
  <c r="BE94" i="2"/>
  <c r="AM102" i="2"/>
  <c r="AK105" i="2"/>
  <c r="AP102" i="2"/>
  <c r="L127" i="2"/>
  <c r="BJ85" i="2"/>
  <c r="AR93" i="2"/>
  <c r="BJ100" i="2"/>
  <c r="N119" i="2"/>
  <c r="H84" i="2"/>
  <c r="BC91" i="2"/>
  <c r="AR98" i="2"/>
  <c r="P111" i="2"/>
  <c r="AL128" i="2"/>
  <c r="U109" i="3"/>
  <c r="U109" i="2" s="1"/>
  <c r="U110" i="2"/>
  <c r="BE119" i="2"/>
  <c r="V109" i="3"/>
  <c r="V109" i="2" s="1"/>
  <c r="V110" i="2"/>
  <c r="AC119" i="2"/>
  <c r="AX103" i="2"/>
  <c r="AV113" i="2"/>
  <c r="AF123" i="2"/>
  <c r="AA121" i="2"/>
  <c r="BF101" i="2"/>
  <c r="BC108" i="2"/>
  <c r="N118" i="2"/>
  <c r="BM96" i="2"/>
  <c r="AG103" i="2"/>
  <c r="AK111" i="2"/>
  <c r="AE121" i="2"/>
  <c r="BC103" i="2"/>
  <c r="BJ111" i="2"/>
  <c r="AI122" i="2"/>
  <c r="AD109" i="3"/>
  <c r="AD109" i="2" s="1"/>
  <c r="AD110" i="2"/>
  <c r="G119" i="2"/>
  <c r="Q114" i="2"/>
  <c r="AJ126" i="2"/>
  <c r="N104" i="2"/>
  <c r="Y112" i="2"/>
  <c r="AP122" i="2"/>
  <c r="G97" i="2"/>
  <c r="BI103" i="2"/>
  <c r="AB112" i="2"/>
  <c r="L121" i="2"/>
  <c r="Q113" i="2"/>
  <c r="AV121" i="2"/>
  <c r="AN99" i="2"/>
  <c r="AQ106" i="2"/>
  <c r="BI115" i="2"/>
  <c r="AW126" i="2"/>
  <c r="V123" i="2"/>
  <c r="L124" i="2"/>
  <c r="J127" i="2"/>
  <c r="BG108" i="2"/>
  <c r="AC117" i="2"/>
  <c r="K125" i="2"/>
  <c r="AI105" i="2"/>
  <c r="H113" i="2"/>
  <c r="AW120" i="2"/>
  <c r="W129" i="2"/>
  <c r="G115" i="2"/>
  <c r="W122" i="2"/>
  <c r="Y125" i="2"/>
  <c r="N121" i="2"/>
  <c r="AO128" i="2"/>
  <c r="AJ123" i="2"/>
  <c r="V115" i="2"/>
  <c r="R122" i="2"/>
  <c r="Y129" i="2"/>
  <c r="R116" i="2"/>
  <c r="AL123" i="2"/>
  <c r="BL118" i="2"/>
  <c r="AC125" i="2"/>
  <c r="P81" i="2"/>
  <c r="AS90" i="2"/>
  <c r="AB67" i="3"/>
  <c r="AB67" i="2" s="1"/>
  <c r="AB68" i="2"/>
  <c r="M75" i="2"/>
  <c r="X82" i="2"/>
  <c r="AA92" i="2"/>
  <c r="BK87" i="2"/>
  <c r="BH100" i="2"/>
  <c r="BC93" i="2"/>
  <c r="K124" i="2"/>
  <c r="AJ95" i="2"/>
  <c r="W70" i="2"/>
  <c r="BA76" i="2"/>
  <c r="AN84" i="2"/>
  <c r="Q96" i="2"/>
  <c r="AC77" i="2"/>
  <c r="Z85" i="2"/>
  <c r="BL99" i="2"/>
  <c r="AD69" i="2"/>
  <c r="O76" i="2"/>
  <c r="AL83" i="2"/>
  <c r="AG94" i="2"/>
  <c r="T102" i="2"/>
  <c r="AD118" i="2"/>
  <c r="Z98" i="2"/>
  <c r="BJ107" i="2"/>
  <c r="AI118" i="2"/>
  <c r="BA102" i="2"/>
  <c r="AV119" i="2"/>
  <c r="Y97" i="2"/>
  <c r="V106" i="2"/>
  <c r="Z95" i="2"/>
  <c r="V104" i="2"/>
  <c r="BL124" i="2"/>
  <c r="AN111" i="2"/>
  <c r="X103" i="2"/>
  <c r="H122" i="2"/>
  <c r="Z103" i="2"/>
  <c r="AP123" i="2"/>
  <c r="BA94" i="2"/>
  <c r="BK102" i="2"/>
  <c r="BJ118" i="2"/>
  <c r="AG102" i="2"/>
  <c r="P122" i="2"/>
  <c r="BE97" i="2"/>
  <c r="P108" i="2"/>
  <c r="H87" i="2"/>
  <c r="BD94" i="2"/>
  <c r="AL102" i="2"/>
  <c r="AR80" i="2"/>
  <c r="I87" i="2"/>
  <c r="M95" i="2"/>
  <c r="AI103" i="2"/>
  <c r="AO106" i="2"/>
  <c r="AL103" i="2"/>
  <c r="AF79" i="2"/>
  <c r="Q86" i="2"/>
  <c r="BL93" i="2"/>
  <c r="Y101" i="2"/>
  <c r="Q120" i="2"/>
  <c r="AB84" i="2"/>
  <c r="J92" i="2"/>
  <c r="AA99" i="2"/>
  <c r="BH112" i="2"/>
  <c r="G129" i="2"/>
  <c r="AS109" i="3"/>
  <c r="AS109" i="2" s="1"/>
  <c r="AS110" i="2"/>
  <c r="Z120" i="2"/>
  <c r="AT109" i="3"/>
  <c r="AT109" i="2" s="1"/>
  <c r="AT110" i="2"/>
  <c r="BF119" i="2"/>
  <c r="AA104" i="2"/>
  <c r="J114" i="2"/>
  <c r="AT124" i="2"/>
  <c r="BF121" i="2"/>
  <c r="M102" i="2"/>
  <c r="Y109" i="3"/>
  <c r="Y109" i="2" s="1"/>
  <c r="Y110" i="2"/>
  <c r="AN118" i="2"/>
  <c r="T97" i="2"/>
  <c r="BB103" i="2"/>
  <c r="BI111" i="2"/>
  <c r="AH122" i="2"/>
  <c r="K104" i="2"/>
  <c r="V112" i="2"/>
  <c r="AR123" i="2"/>
  <c r="BB109" i="3"/>
  <c r="BB109" i="2" s="1"/>
  <c r="BB110" i="2"/>
  <c r="AO119" i="2"/>
  <c r="AP114" i="2"/>
  <c r="AV127" i="2"/>
  <c r="AI104" i="2"/>
  <c r="AW112" i="2"/>
  <c r="L123" i="2"/>
  <c r="AA97" i="2"/>
  <c r="Q104" i="2"/>
  <c r="BC112" i="2"/>
  <c r="AS121" i="2"/>
  <c r="AO113" i="2"/>
  <c r="N122" i="2"/>
  <c r="BH99" i="2"/>
  <c r="BM106" i="2"/>
  <c r="W116" i="2"/>
  <c r="W127" i="2"/>
  <c r="AU123" i="2"/>
  <c r="AP124" i="2"/>
  <c r="AJ127" i="2"/>
  <c r="N109" i="3"/>
  <c r="N109" i="2" s="1"/>
  <c r="N110" i="2"/>
  <c r="AY117" i="2"/>
  <c r="AN125" i="2"/>
  <c r="BC105" i="2"/>
  <c r="AC113" i="2"/>
  <c r="H121" i="2"/>
  <c r="BB129" i="2"/>
  <c r="AC115" i="2"/>
  <c r="AW122" i="2"/>
  <c r="AT125" i="2"/>
  <c r="AI121" i="2"/>
  <c r="BJ128" i="2"/>
  <c r="BE123" i="2"/>
  <c r="AP115" i="2"/>
  <c r="AM122" i="2"/>
  <c r="AT129" i="2"/>
  <c r="AL116" i="2"/>
  <c r="BH123" i="2"/>
  <c r="S119" i="2"/>
  <c r="AW125" i="2"/>
  <c r="AR90" i="2"/>
  <c r="G67" i="3"/>
  <c r="G67" i="2" s="1"/>
  <c r="G68" i="2"/>
  <c r="BE74" i="2"/>
  <c r="AN81" i="2"/>
  <c r="AJ91" i="2"/>
  <c r="AV67" i="3"/>
  <c r="AV67" i="2" s="1"/>
  <c r="AV68" i="2"/>
  <c r="AG75" i="2"/>
  <c r="AU82" i="2"/>
  <c r="BD92" i="2"/>
  <c r="G88" i="3"/>
  <c r="G88" i="2" s="1"/>
  <c r="G89" i="2"/>
  <c r="Q102" i="2"/>
  <c r="Y94" i="2"/>
  <c r="X85" i="2"/>
  <c r="N96" i="2"/>
  <c r="AQ70" i="2"/>
  <c r="H77" i="2"/>
  <c r="Y85" i="2"/>
  <c r="BM97" i="2"/>
  <c r="AW77" i="2"/>
  <c r="AX85" i="2"/>
  <c r="AV102" i="2"/>
  <c r="AX69" i="2"/>
  <c r="AI76" i="2"/>
  <c r="BI83" i="2"/>
  <c r="AP95" i="2"/>
  <c r="AW102" i="2"/>
  <c r="AA119" i="2"/>
  <c r="AW98" i="2"/>
  <c r="AP108" i="2"/>
  <c r="AR119" i="2"/>
  <c r="R103" i="2"/>
  <c r="AZ120" i="2"/>
  <c r="AW97" i="2"/>
  <c r="BH106" i="2"/>
  <c r="AU95" i="2"/>
  <c r="BB104" i="2"/>
  <c r="Z126" i="2"/>
  <c r="Z112" i="2"/>
  <c r="BE103" i="2"/>
  <c r="AA123" i="2"/>
  <c r="BG103" i="2"/>
  <c r="AP126" i="2"/>
  <c r="I95" i="2"/>
  <c r="AA103" i="2"/>
  <c r="M122" i="2"/>
  <c r="BM102" i="2"/>
  <c r="BA123" i="2"/>
  <c r="M98" i="2"/>
  <c r="BM108" i="2"/>
  <c r="AB87" i="2"/>
  <c r="L95" i="2"/>
  <c r="AF103" i="2"/>
  <c r="BL80" i="2"/>
  <c r="AC87" i="2"/>
  <c r="AH95" i="2"/>
  <c r="AH104" i="2"/>
  <c r="I107" i="2"/>
  <c r="AK104" i="2"/>
  <c r="AZ79" i="2"/>
  <c r="AK86" i="2"/>
  <c r="S94" i="2"/>
  <c r="BA101" i="2"/>
  <c r="AD121" i="2"/>
  <c r="AV84" i="2"/>
  <c r="AD92" i="2"/>
  <c r="AZ99" i="2"/>
  <c r="AR113" i="2"/>
  <c r="BD129" i="2"/>
  <c r="AB111" i="2"/>
  <c r="BD120" i="2"/>
  <c r="AC111" i="2"/>
  <c r="AA120" i="2"/>
  <c r="AV104" i="2"/>
  <c r="AI114" i="2"/>
  <c r="R125" i="2"/>
  <c r="AC122" i="2"/>
  <c r="AH102" i="2"/>
  <c r="AX109" i="3"/>
  <c r="AX109" i="2" s="1"/>
  <c r="AX110" i="2"/>
  <c r="AF119" i="2"/>
  <c r="AN97" i="2"/>
  <c r="J104" i="2"/>
  <c r="U112" i="2"/>
  <c r="AQ123" i="2"/>
  <c r="AF104" i="2"/>
  <c r="AT112" i="2"/>
  <c r="S124" i="2"/>
  <c r="O111" i="2"/>
  <c r="AJ120" i="2"/>
  <c r="Z115" i="2"/>
  <c r="R128" i="2"/>
  <c r="BD104" i="2"/>
  <c r="K113" i="2"/>
  <c r="AV123" i="2"/>
  <c r="AU97" i="2"/>
  <c r="AL104" i="2"/>
  <c r="O113" i="2"/>
  <c r="L122" i="2"/>
  <c r="BM113" i="2"/>
  <c r="AY122" i="2"/>
  <c r="O100" i="2"/>
  <c r="T107" i="2"/>
  <c r="AV116" i="2"/>
  <c r="BH127" i="2"/>
  <c r="I124" i="2"/>
  <c r="AD125" i="2"/>
  <c r="BM127" i="2"/>
  <c r="AI109" i="3"/>
  <c r="AI109" i="2" s="1"/>
  <c r="AI110" i="2"/>
  <c r="J118" i="2"/>
  <c r="AA126" i="2"/>
  <c r="J106" i="2"/>
  <c r="AX113" i="2"/>
  <c r="AH121" i="2"/>
  <c r="U108" i="2"/>
  <c r="AY115" i="2"/>
  <c r="J123" i="2"/>
  <c r="V126" i="2"/>
  <c r="BD121" i="2"/>
  <c r="R129" i="2"/>
  <c r="M124" i="2"/>
  <c r="BJ115" i="2"/>
  <c r="BH122" i="2"/>
  <c r="H109" i="3"/>
  <c r="H109" i="2" s="1"/>
  <c r="H110" i="2"/>
  <c r="BF116" i="2"/>
  <c r="P124" i="2"/>
  <c r="AM119" i="2"/>
  <c r="X126" i="2"/>
  <c r="R93" i="2"/>
  <c r="AF88" i="3"/>
  <c r="AF88" i="2" s="1"/>
  <c r="AF89" i="2"/>
  <c r="BG107" i="2"/>
  <c r="BL94" i="2"/>
  <c r="AV85" i="2"/>
  <c r="BJ97" i="2"/>
  <c r="BK70" i="2"/>
  <c r="AB77" i="2"/>
  <c r="AW85" i="2"/>
  <c r="BB98" i="2"/>
  <c r="X78" i="2"/>
  <c r="I86" i="2"/>
  <c r="P104" i="2"/>
  <c r="Y70" i="2"/>
  <c r="BC76" i="2"/>
  <c r="R84" i="2"/>
  <c r="S96" i="2"/>
  <c r="N103" i="2"/>
  <c r="AN120" i="2"/>
  <c r="G99" i="2"/>
  <c r="AQ109" i="3"/>
  <c r="AQ109" i="2" s="1"/>
  <c r="AQ110" i="2"/>
  <c r="AT120" i="2"/>
  <c r="AW103" i="2"/>
  <c r="M123" i="2"/>
  <c r="AC98" i="2"/>
  <c r="AA107" i="2"/>
  <c r="X96" i="2"/>
  <c r="U105" i="2"/>
  <c r="V100" i="2"/>
  <c r="N113" i="2"/>
  <c r="X104" i="2"/>
  <c r="AM126" i="2"/>
  <c r="Y104" i="2"/>
  <c r="W128" i="2"/>
  <c r="AD95" i="2"/>
  <c r="BH103" i="2"/>
  <c r="AW123" i="2"/>
  <c r="AB103" i="2"/>
  <c r="AM128" i="2"/>
  <c r="AK98" i="2"/>
  <c r="S109" i="3"/>
  <c r="S109" i="2" s="1"/>
  <c r="S110" i="2"/>
  <c r="AV87" i="2"/>
  <c r="AG95" i="2"/>
  <c r="AG104" i="2"/>
  <c r="S81" i="2"/>
  <c r="AW87" i="2"/>
  <c r="BC95" i="2"/>
  <c r="AG105" i="2"/>
  <c r="AU107" i="2"/>
  <c r="AL105" i="2"/>
  <c r="G80" i="2"/>
  <c r="BE86" i="2"/>
  <c r="AM94" i="2"/>
  <c r="L102" i="2"/>
  <c r="BB122" i="2"/>
  <c r="W85" i="2"/>
  <c r="AX92" i="2"/>
  <c r="K100" i="2"/>
  <c r="AJ114" i="2"/>
  <c r="BC120" i="2"/>
  <c r="AZ111" i="2"/>
  <c r="X121" i="2"/>
  <c r="BD111" i="2"/>
  <c r="BE120" i="2"/>
  <c r="Z105" i="2"/>
  <c r="BH114" i="2"/>
  <c r="BE125" i="2"/>
  <c r="AN123" i="2"/>
  <c r="BC102" i="2"/>
  <c r="H111" i="2"/>
  <c r="AD120" i="2"/>
  <c r="BH97" i="2"/>
  <c r="AE104" i="2"/>
  <c r="AS112" i="2"/>
  <c r="R124" i="2"/>
  <c r="BA104" i="2"/>
  <c r="AF113" i="2"/>
  <c r="BH124" i="2"/>
  <c r="AM111" i="2"/>
  <c r="AK121" i="2"/>
  <c r="BB115" i="2"/>
  <c r="BG128" i="2"/>
  <c r="L105" i="2"/>
  <c r="AJ113" i="2"/>
  <c r="V124" i="2"/>
  <c r="V98" i="2"/>
  <c r="BG104" i="2"/>
  <c r="AM113" i="2"/>
  <c r="AT122" i="2"/>
  <c r="W114" i="2"/>
  <c r="U123" i="2"/>
  <c r="AI100" i="2"/>
  <c r="AP107" i="2"/>
  <c r="K117" i="2"/>
  <c r="AG128" i="2"/>
  <c r="AM124" i="2"/>
  <c r="BG125" i="2"/>
  <c r="Y128" i="2"/>
  <c r="BD109" i="3"/>
  <c r="BD109" i="2" s="1"/>
  <c r="BD110" i="2"/>
  <c r="AF118" i="2"/>
  <c r="BD126" i="2"/>
  <c r="AD106" i="2"/>
  <c r="AC114" i="2"/>
  <c r="BH121" i="2"/>
  <c r="AO108" i="2"/>
  <c r="H116" i="2"/>
  <c r="AI123" i="2"/>
  <c r="AQ126" i="2"/>
  <c r="K122" i="2"/>
  <c r="AM129" i="2"/>
  <c r="AI124" i="2"/>
  <c r="Q116" i="2"/>
  <c r="P123" i="2"/>
  <c r="AB109" i="3"/>
  <c r="AB109" i="2" s="1"/>
  <c r="AB110" i="2"/>
  <c r="M117" i="2"/>
  <c r="AK124" i="2"/>
  <c r="BG119" i="2"/>
  <c r="AR126" i="2"/>
  <c r="J77" i="2"/>
  <c r="AP84" i="2"/>
  <c r="BL98" i="2"/>
  <c r="AT103" i="2"/>
  <c r="AY121" i="2"/>
  <c r="AF99" i="2"/>
  <c r="Y111" i="2"/>
  <c r="AL124" i="2"/>
  <c r="R104" i="2"/>
  <c r="AN124" i="2"/>
  <c r="AZ98" i="2"/>
  <c r="AT108" i="2"/>
  <c r="AT96" i="2"/>
  <c r="BD105" i="2"/>
  <c r="AX100" i="2"/>
  <c r="BK114" i="2"/>
  <c r="BE104" i="2"/>
  <c r="M128" i="2"/>
  <c r="BF104" i="2"/>
  <c r="Q88" i="3"/>
  <c r="Q88" i="2" s="1"/>
  <c r="Q89" i="2"/>
  <c r="AY95" i="2"/>
  <c r="Z104" i="2"/>
  <c r="BB126" i="2"/>
  <c r="BJ103" i="2"/>
  <c r="X92" i="2"/>
  <c r="BH98" i="2"/>
  <c r="AX111" i="2"/>
  <c r="T88" i="3"/>
  <c r="T88" i="2" s="1"/>
  <c r="T89" i="2"/>
  <c r="BB95" i="2"/>
  <c r="BM104" i="2"/>
  <c r="AM81" i="2"/>
  <c r="U88" i="3"/>
  <c r="U88" i="2" s="1"/>
  <c r="U89" i="2"/>
  <c r="K96" i="2"/>
  <c r="AM106" i="2"/>
  <c r="W108" i="2"/>
  <c r="AP106" i="2"/>
  <c r="AA80" i="2"/>
  <c r="L87" i="2"/>
  <c r="BH94" i="2"/>
  <c r="AR102" i="2"/>
  <c r="AV125" i="2"/>
  <c r="AQ85" i="2"/>
  <c r="Y93" i="2"/>
  <c r="AL100" i="2"/>
  <c r="T115" i="2"/>
  <c r="W121" i="2"/>
  <c r="N112" i="2"/>
  <c r="BB121" i="2"/>
  <c r="O112" i="2"/>
  <c r="Y121" i="2"/>
  <c r="AV105" i="2"/>
  <c r="Q115" i="2"/>
  <c r="T126" i="2"/>
  <c r="H124" i="2"/>
  <c r="J103" i="2"/>
  <c r="AI111" i="2"/>
  <c r="BJ120" i="2"/>
  <c r="O98" i="2"/>
  <c r="AZ104" i="2"/>
  <c r="AE113" i="2"/>
  <c r="BG124" i="2"/>
  <c r="I105" i="2"/>
  <c r="BE113" i="2"/>
  <c r="W125" i="2"/>
  <c r="BL111" i="2"/>
  <c r="AK122" i="2"/>
  <c r="N116" i="2"/>
  <c r="AH129" i="2"/>
  <c r="AJ105" i="2"/>
  <c r="BH113" i="2"/>
  <c r="BK124" i="2"/>
  <c r="AP98" i="2"/>
  <c r="Q105" i="2"/>
  <c r="BK113" i="2"/>
  <c r="R123" i="2"/>
  <c r="BA114" i="2"/>
  <c r="BD123" i="2"/>
  <c r="BC100" i="2"/>
  <c r="X108" i="2"/>
  <c r="AM117" i="2"/>
  <c r="AZ129" i="2"/>
  <c r="BM124" i="2"/>
  <c r="Q126" i="2"/>
  <c r="BC128" i="2"/>
  <c r="K111" i="2"/>
  <c r="BC118" i="2"/>
  <c r="P127" i="2"/>
  <c r="AX106" i="2"/>
  <c r="AY114" i="2"/>
  <c r="V122" i="2"/>
  <c r="BI108" i="2"/>
  <c r="AD116" i="2"/>
  <c r="BL123" i="2"/>
  <c r="BM126" i="2"/>
  <c r="AF122" i="2"/>
  <c r="BH129" i="2"/>
  <c r="BD124" i="2"/>
  <c r="AK116" i="2"/>
  <c r="AK123" i="2"/>
  <c r="AV109" i="3"/>
  <c r="AV109" i="2" s="1"/>
  <c r="AV110" i="2"/>
  <c r="AG117" i="2"/>
  <c r="BF124" i="2"/>
  <c r="N120" i="2"/>
  <c r="BL126" i="2"/>
  <c r="P116" i="2"/>
  <c r="BA121" i="2"/>
  <c r="AM112" i="2"/>
  <c r="Z122" i="2"/>
  <c r="AN112" i="2"/>
  <c r="BC121" i="2"/>
  <c r="AA106" i="2"/>
  <c r="AR115" i="2"/>
  <c r="BI126" i="2"/>
  <c r="AU124" i="2"/>
  <c r="AE103" i="2"/>
  <c r="BG111" i="2"/>
  <c r="AB121" i="2"/>
  <c r="AI98" i="2"/>
  <c r="H105" i="2"/>
  <c r="BD113" i="2"/>
  <c r="V125" i="2"/>
  <c r="AE105" i="2"/>
  <c r="O114" i="2"/>
  <c r="BL125" i="2"/>
  <c r="W112" i="2"/>
  <c r="AS123" i="2"/>
  <c r="AO116" i="2"/>
  <c r="N99" i="2"/>
  <c r="BF105" i="2"/>
  <c r="R114" i="2"/>
  <c r="AF125" i="2"/>
  <c r="BJ98" i="2"/>
  <c r="AM105" i="2"/>
  <c r="U114" i="2"/>
  <c r="BB123" i="2"/>
  <c r="J115" i="2"/>
  <c r="AF124" i="2"/>
  <c r="J101" i="2"/>
  <c r="AU108" i="2"/>
  <c r="AC118" i="2"/>
  <c r="S117" i="2"/>
  <c r="X125" i="2"/>
  <c r="AT126" i="2"/>
  <c r="M129" i="2"/>
  <c r="AF111" i="2"/>
  <c r="K119" i="2"/>
  <c r="AS127" i="2"/>
  <c r="Y107" i="2"/>
  <c r="AB115" i="2"/>
  <c r="AV122" i="2"/>
  <c r="P109" i="3"/>
  <c r="P109" i="2" s="1"/>
  <c r="P110" i="2"/>
  <c r="AZ116" i="2"/>
  <c r="Y124" i="2"/>
  <c r="U127" i="2"/>
  <c r="BA122" i="2"/>
  <c r="S129" i="2"/>
  <c r="L125" i="2"/>
  <c r="BE116" i="2"/>
  <c r="BF123" i="2"/>
  <c r="W111" i="2"/>
  <c r="BA117" i="2"/>
  <c r="N125" i="2"/>
  <c r="AH120" i="2"/>
  <c r="S127" i="2"/>
  <c r="AM127" i="2"/>
  <c r="Y78" i="2"/>
  <c r="J86" i="2"/>
  <c r="AQ104" i="2"/>
  <c r="K105" i="2"/>
  <c r="AO129" i="2"/>
  <c r="AP100" i="2"/>
  <c r="AW114" i="2"/>
  <c r="V96" i="2"/>
  <c r="AW105" i="2"/>
  <c r="BJ91" i="2"/>
  <c r="BJ99" i="2"/>
  <c r="Q112" i="2"/>
  <c r="G98" i="2"/>
  <c r="AC107" i="2"/>
  <c r="AB102" i="2"/>
  <c r="AQ117" i="2"/>
  <c r="Y106" i="2"/>
  <c r="AW96" i="2"/>
  <c r="Z106" i="2"/>
  <c r="L90" i="2"/>
  <c r="AX96" i="2"/>
  <c r="BJ105" i="2"/>
  <c r="AC96" i="2"/>
  <c r="AA105" i="2"/>
  <c r="S93" i="2"/>
  <c r="AD100" i="2"/>
  <c r="S114" i="2"/>
  <c r="O90" i="2"/>
  <c r="BB96" i="2"/>
  <c r="AQ107" i="2"/>
  <c r="AH82" i="2"/>
  <c r="P90" i="2"/>
  <c r="M97" i="2"/>
  <c r="V108" i="2"/>
  <c r="AX112" i="2"/>
  <c r="Y108" i="2"/>
  <c r="AP81" i="2"/>
  <c r="X88" i="3"/>
  <c r="X88" i="2" s="1"/>
  <c r="X89" i="2"/>
  <c r="BG95" i="2"/>
  <c r="AN105" i="2"/>
  <c r="BA79" i="2"/>
  <c r="AL86" i="2"/>
  <c r="T94" i="2"/>
  <c r="BB101" i="2"/>
  <c r="V118" i="2"/>
  <c r="BD122" i="2"/>
  <c r="V113" i="2"/>
  <c r="AC123" i="2"/>
  <c r="W113" i="2"/>
  <c r="BJ122" i="2"/>
  <c r="AB107" i="2"/>
  <c r="BG116" i="2"/>
  <c r="AS128" i="2"/>
  <c r="BF125" i="2"/>
  <c r="H104" i="2"/>
  <c r="AQ112" i="2"/>
  <c r="AD122" i="2"/>
  <c r="J99" i="2"/>
  <c r="AZ105" i="2"/>
  <c r="AM114" i="2"/>
  <c r="AG126" i="2"/>
  <c r="L106" i="2"/>
  <c r="BM114" i="2"/>
  <c r="AO127" i="2"/>
  <c r="AH113" i="2"/>
  <c r="BI124" i="2"/>
  <c r="BF117" i="2"/>
  <c r="BB99" i="2"/>
  <c r="AK106" i="2"/>
  <c r="AD115" i="2"/>
  <c r="K127" i="2"/>
  <c r="AK99" i="2"/>
  <c r="R106" i="2"/>
  <c r="H115" i="2"/>
  <c r="AL125" i="2"/>
  <c r="BH115" i="2"/>
  <c r="G126" i="2"/>
  <c r="AX101" i="2"/>
  <c r="AO109" i="3"/>
  <c r="AO109" i="2" s="1"/>
  <c r="AO110" i="2"/>
  <c r="T119" i="2"/>
  <c r="BK117" i="2"/>
  <c r="N126" i="2"/>
  <c r="BJ127" i="2"/>
  <c r="N129" i="2"/>
  <c r="I112" i="2"/>
  <c r="BK119" i="2"/>
  <c r="AI128" i="2"/>
  <c r="BM107" i="2"/>
  <c r="G116" i="2"/>
  <c r="AH123" i="2"/>
  <c r="BF109" i="3"/>
  <c r="BF109" i="2" s="1"/>
  <c r="BF110" i="2"/>
  <c r="AE117" i="2"/>
  <c r="P125" i="2"/>
  <c r="BK127" i="2"/>
  <c r="AD123" i="2"/>
  <c r="BI129" i="2"/>
  <c r="BB125" i="2"/>
  <c r="AF117" i="2"/>
  <c r="AJ124" i="2"/>
  <c r="BK111" i="2"/>
  <c r="AB118" i="2"/>
  <c r="BD125" i="2"/>
  <c r="I121" i="2"/>
  <c r="BG127" i="2"/>
  <c r="Z46" i="2" l="1"/>
  <c r="BH46" i="2"/>
  <c r="AQ46" i="2"/>
  <c r="AH46" i="2"/>
  <c r="BM46" i="2"/>
  <c r="BI46" i="2"/>
  <c r="R46" i="2"/>
  <c r="V46" i="2"/>
  <c r="Y46" i="2"/>
  <c r="N46" i="2"/>
  <c r="G46" i="2"/>
  <c r="AN46" i="2"/>
  <c r="AK46" i="2"/>
  <c r="X46" i="2"/>
  <c r="AC46" i="2"/>
  <c r="AR46" i="2"/>
  <c r="AX46" i="2"/>
  <c r="O46" i="2"/>
  <c r="AI46" i="2"/>
  <c r="BE46" i="2"/>
  <c r="BK46" i="2"/>
  <c r="J46" i="2"/>
  <c r="AA46" i="2"/>
  <c r="Q46" i="2"/>
  <c r="H46" i="2"/>
  <c r="AW46" i="2"/>
  <c r="P46" i="2"/>
  <c r="BC46" i="2"/>
  <c r="U46" i="2"/>
  <c r="AG46" i="2"/>
  <c r="BF46" i="2"/>
  <c r="T46" i="2"/>
  <c r="BD46" i="2"/>
  <c r="AJ46" i="2"/>
  <c r="AY46" i="2"/>
  <c r="S46" i="2"/>
  <c r="AZ46" i="2"/>
  <c r="AU46" i="2"/>
  <c r="AV46" i="2"/>
  <c r="K46" i="2"/>
  <c r="BJ46" i="2"/>
  <c r="BB46" i="2"/>
  <c r="AS46" i="2"/>
  <c r="AE46" i="2"/>
  <c r="AO46" i="2"/>
  <c r="L46" i="2"/>
  <c r="W46" i="2"/>
  <c r="F46" i="2"/>
  <c r="AP46" i="2"/>
  <c r="AB46" i="2"/>
  <c r="BG46" i="2"/>
  <c r="AM46" i="2"/>
  <c r="I46" i="2"/>
  <c r="M46" i="2"/>
  <c r="AT46" i="2"/>
  <c r="AF46" i="2"/>
  <c r="BA46" i="2"/>
  <c r="BL46" i="2"/>
  <c r="AL46" i="2"/>
  <c r="AD46" i="2"/>
  <c r="G3" i="3"/>
  <c r="BG3" i="3"/>
  <c r="BB3" i="3"/>
  <c r="BD3" i="3"/>
  <c r="AJ3" i="3"/>
  <c r="AC3" i="3"/>
  <c r="AO3" i="3"/>
  <c r="BI3" i="3"/>
  <c r="P3" i="3"/>
  <c r="BA3" i="3"/>
  <c r="U3" i="3"/>
  <c r="N3" i="3"/>
  <c r="Z3" i="3"/>
  <c r="BK3" i="3"/>
  <c r="BF3" i="3"/>
  <c r="BJ3" i="3"/>
  <c r="T3" i="3"/>
  <c r="AM3" i="3"/>
  <c r="AS3" i="3"/>
  <c r="BM3" i="3"/>
  <c r="AY3" i="3"/>
  <c r="AT3" i="3"/>
  <c r="AX3" i="3"/>
  <c r="BC3" i="3"/>
  <c r="AN3" i="3"/>
  <c r="AA3" i="3"/>
  <c r="AH3" i="3"/>
  <c r="M3" i="3"/>
  <c r="AW3" i="3"/>
  <c r="R3" i="3"/>
  <c r="AZ3" i="3"/>
  <c r="O3" i="3"/>
  <c r="AV3" i="3"/>
  <c r="AD3" i="3"/>
  <c r="BH3" i="3"/>
  <c r="J3" i="3"/>
  <c r="X3" i="3"/>
  <c r="AG3" i="3"/>
  <c r="AK3" i="3"/>
  <c r="AR3" i="3"/>
  <c r="V3" i="3"/>
  <c r="F3" i="3"/>
  <c r="AL3" i="3"/>
  <c r="K3" i="3"/>
  <c r="AQ3" i="3"/>
  <c r="I3" i="3"/>
  <c r="AE3" i="3"/>
  <c r="H3" i="3"/>
  <c r="L3" i="3"/>
  <c r="AF3" i="3"/>
  <c r="W3" i="3"/>
  <c r="AU3" i="3"/>
  <c r="AI3" i="3"/>
  <c r="AB3" i="3"/>
  <c r="Q3" i="3"/>
  <c r="S3" i="3"/>
  <c r="AP3" i="3"/>
  <c r="BL3" i="3"/>
  <c r="Y3" i="3"/>
  <c r="BE3" i="3"/>
  <c r="BE3" i="2" l="1"/>
  <c r="Y3" i="2"/>
  <c r="BL3" i="2"/>
  <c r="AP3" i="2"/>
  <c r="S3" i="2"/>
  <c r="Q3" i="2"/>
  <c r="AB3" i="2"/>
  <c r="AI3" i="2"/>
  <c r="AU3" i="2"/>
  <c r="W3" i="2"/>
  <c r="AF3" i="2"/>
  <c r="L3" i="2"/>
  <c r="H3" i="2"/>
  <c r="AE3" i="2"/>
  <c r="I3" i="2"/>
  <c r="AQ3" i="2"/>
  <c r="K3" i="2"/>
  <c r="AL3" i="2"/>
  <c r="F3" i="2"/>
  <c r="V3" i="2"/>
  <c r="AR3" i="2"/>
  <c r="AK3" i="2"/>
  <c r="AG3" i="2"/>
  <c r="X3" i="2"/>
  <c r="J3" i="2"/>
  <c r="BH3" i="2"/>
  <c r="AD3" i="2"/>
  <c r="AV3" i="2"/>
  <c r="O3" i="2"/>
  <c r="AZ3" i="2"/>
  <c r="R3" i="2"/>
  <c r="AW3" i="2"/>
  <c r="M3" i="2"/>
  <c r="AH3" i="2"/>
  <c r="AA3" i="2"/>
  <c r="AN3" i="2"/>
  <c r="BC3" i="2"/>
  <c r="AX3" i="2"/>
  <c r="AT3" i="2"/>
  <c r="AY3" i="2"/>
  <c r="BM3" i="2"/>
  <c r="AS3" i="2"/>
  <c r="AM3" i="2"/>
  <c r="T3" i="2"/>
  <c r="BJ3" i="2"/>
  <c r="BF3" i="2"/>
  <c r="BK3" i="2"/>
  <c r="Z3" i="2"/>
  <c r="N3" i="2"/>
  <c r="U3" i="2"/>
  <c r="BA3" i="2"/>
  <c r="P3" i="2"/>
  <c r="BI3" i="2"/>
  <c r="AO3" i="2"/>
  <c r="AC3" i="2"/>
  <c r="AJ3" i="2"/>
  <c r="BD3" i="2"/>
  <c r="BB3" i="2"/>
  <c r="BG3" i="2"/>
  <c r="G3" i="2"/>
</calcChain>
</file>

<file path=xl/sharedStrings.xml><?xml version="1.0" encoding="utf-8"?>
<sst xmlns="http://schemas.openxmlformats.org/spreadsheetml/2006/main" count="29" uniqueCount="28">
  <si>
    <t>**IMPORTANT NOTE**</t>
  </si>
  <si>
    <t>This document, the information contained herein and any derived information created therefrom are for the exclusive use of LEV ROZANOV at UNIVERSITY OF ST AND.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</si>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</sst>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BDH|12545818577245136239</stp>
        <tr r="F254" s="3"/>
      </tp>
      <tp t="s">
        <v>#N/A N/A</v>
        <stp/>
        <stp>BDH|14512769582162306313</stp>
        <tr r="F172" s="3"/>
      </tp>
      <tp t="s">
        <v>#N/A N/A</v>
        <stp/>
        <stp>BDH|17896187635399844786</stp>
        <tr r="F183" s="3"/>
      </tp>
      <tp t="s">
        <v>#N/A N/A</v>
        <stp/>
        <stp>BDH|14733342916735331825</stp>
        <tr r="F150" s="3"/>
      </tp>
      <tp t="s">
        <v>#N/A N/A</v>
        <stp/>
        <stp>BDH|14503146905286215819</stp>
        <tr r="F187" s="3"/>
      </tp>
      <tp t="s">
        <v>#N/A N/A</v>
        <stp/>
        <stp>BDH|16937396514259202512</stp>
        <tr r="F164" s="3"/>
      </tp>
      <tp t="s">
        <v>#N/A N/A</v>
        <stp/>
        <stp>BDH|18271089437546873375</stp>
        <tr r="F191" s="3"/>
      </tp>
      <tp t="s">
        <v>#N/A N/A</v>
        <stp/>
        <stp>BDH|10908603881410235081</stp>
        <tr r="F147" s="3"/>
      </tp>
      <tp t="s">
        <v>#N/A N/A</v>
        <stp/>
        <stp>BDH|16673946406865515499</stp>
        <tr r="F201" s="3"/>
      </tp>
      <tp t="s">
        <v>#N/A N/A</v>
        <stp/>
        <stp>BDH|16801407405478328453</stp>
        <tr r="F192" s="3"/>
      </tp>
      <tp t="s">
        <v>#N/A N/A</v>
        <stp/>
        <stp>BDH|15085400620949407496</stp>
        <tr r="F215" s="3"/>
      </tp>
      <tp t="s">
        <v>#N/A N/A</v>
        <stp/>
        <stp>BDH|16312331588152143092</stp>
        <tr r="F166" s="3"/>
      </tp>
      <tp t="s">
        <v>#N/A N/A</v>
        <stp/>
        <stp>BDH|14267012542898596782</stp>
        <tr r="F216" s="3"/>
      </tp>
      <tp t="s">
        <v>#N/A N/A</v>
        <stp/>
        <stp>BDH|16399159171004747819</stp>
        <tr r="F168" s="3"/>
      </tp>
      <tp t="s">
        <v>#N/A N/A</v>
        <stp/>
        <stp>BDH|13927381919964052987</stp>
        <tr r="F244" s="3"/>
      </tp>
      <tp t="s">
        <v>#N/A N/A</v>
        <stp/>
        <stp>BDH|12212879728723238768</stp>
        <tr r="F171" s="3"/>
      </tp>
      <tp t="s">
        <v>#N/A N/A</v>
        <stp/>
        <stp>BDH|14503148118280140843</stp>
        <tr r="F206" s="3"/>
      </tp>
      <tp t="s">
        <v>#N/A N/A</v>
        <stp/>
        <stp>BDH|16599853551907868057</stp>
        <tr r="F237" s="3"/>
      </tp>
      <tp t="s">
        <v>#N/A N/A</v>
        <stp/>
        <stp>BDH|12263376934321576123</stp>
        <tr r="F258" s="3"/>
      </tp>
      <tp t="s">
        <v>#N/A N/A</v>
        <stp/>
        <stp>BDH|12858396730605612589</stp>
        <tr r="F169" s="3"/>
      </tp>
      <tp t="s">
        <v>#N/A N/A</v>
        <stp/>
        <stp>BDH|10450937852409371789</stp>
        <tr r="F248" s="3"/>
      </tp>
      <tp t="s">
        <v>#N/A N/A</v>
        <stp/>
        <stp>BDH|17482041685814538821</stp>
        <tr r="F255" s="3"/>
      </tp>
      <tp t="s">
        <v>#N/A N/A</v>
        <stp/>
        <stp>BDH|11615275843483291764</stp>
        <tr r="F225" s="3"/>
      </tp>
      <tp t="s">
        <v>#N/A N/A</v>
        <stp/>
        <stp>BDH|11265388077777667117</stp>
        <tr r="F253" s="3"/>
      </tp>
      <tp t="s">
        <v>#N/A N/A</v>
        <stp/>
        <stp>BDH|16700398870186035728</stp>
        <tr r="F198" s="3"/>
      </tp>
      <tp t="s">
        <v>#N/A N/A</v>
        <stp/>
        <stp>BDH|16662518268942405440</stp>
        <tr r="F245" s="3"/>
      </tp>
      <tp t="s">
        <v>#N/A N/A</v>
        <stp/>
        <stp>BDH|17631929195466525157</stp>
        <tr r="F230" s="3"/>
      </tp>
      <tp t="s">
        <v>#N/A N/A</v>
        <stp/>
        <stp>BDH|13112234708388292912</stp>
        <tr r="F179" s="3"/>
      </tp>
      <tp t="s">
        <v>#N/A N/A</v>
        <stp/>
        <stp>BDH|16698106362142042398</stp>
        <tr r="F222" s="3"/>
      </tp>
      <tp t="s">
        <v>#N/A N/A</v>
        <stp/>
        <stp>BDH|11160261259036137031</stp>
        <tr r="F228" s="3"/>
      </tp>
      <tp t="s">
        <v>#N/A N/A</v>
        <stp/>
        <stp>BDH|10435785872235591579</stp>
        <tr r="F203" s="3"/>
      </tp>
      <tp t="s">
        <v>#N/A N/A</v>
        <stp/>
        <stp>BDH|16036488036569769941</stp>
        <tr r="F186" s="3"/>
      </tp>
      <tp t="s">
        <v>#N/A N/A</v>
        <stp/>
        <stp>BDH|10070595042639189979</stp>
        <tr r="F165" s="3"/>
      </tp>
      <tp t="s">
        <v>#N/A N/A</v>
        <stp/>
        <stp>BDH|11077433428931286741</stp>
        <tr r="F189" s="3"/>
      </tp>
      <tp t="s">
        <v>#N/A N/A</v>
        <stp/>
        <stp>BDH|10347150131151616542</stp>
        <tr r="F233" s="3"/>
      </tp>
      <tp t="s">
        <v>#N/A N/A</v>
        <stp/>
        <stp>BDH|10401529013383926184</stp>
        <tr r="F238" s="3"/>
      </tp>
      <tp t="s">
        <v>#N/A N/A</v>
        <stp/>
        <stp>BDH|16173192738240239251</stp>
        <tr r="F177" s="3"/>
      </tp>
      <tp t="s">
        <v>#N/A N/A</v>
        <stp/>
        <stp>BDH|10090625304611925103</stp>
        <tr r="F174" s="3"/>
      </tp>
      <tp t="s">
        <v>#N/A N/A</v>
        <stp/>
        <stp>BDH|12966696634556047679</stp>
        <tr r="F219" s="3"/>
      </tp>
      <tp t="s">
        <v>#N/A N/A</v>
        <stp/>
        <stp>BDH|18080374770003617829</stp>
        <tr r="F232" s="3"/>
      </tp>
      <tp t="s">
        <v>#N/A N/A</v>
        <stp/>
        <stp>BDH|15583525573520796050</stp>
        <tr r="F213" s="3"/>
      </tp>
      <tp t="s">
        <v>#N/A N/A</v>
        <stp/>
        <stp>BDH|13247511326106940557</stp>
        <tr r="F234" s="3"/>
      </tp>
      <tp t="s">
        <v>#N/A N/A</v>
        <stp/>
        <stp>BDH|14448056578694786039</stp>
        <tr r="F163" s="3"/>
      </tp>
      <tp t="s">
        <v>#N/A N/A</v>
        <stp/>
        <stp>BDH|15183342526179413935</stp>
        <tr r="F242" s="3"/>
      </tp>
      <tp t="s">
        <v>#N/A N/A</v>
        <stp/>
        <stp>BDH|13160126745856685519</stp>
        <tr r="F154" s="3"/>
      </tp>
      <tp t="s">
        <v>#N/A N/A</v>
        <stp/>
        <stp>BDH|11161020463075990796</stp>
        <tr r="F160" s="3"/>
      </tp>
      <tp t="s">
        <v>#N/A N/A</v>
        <stp/>
        <stp>BDH|12563467541810998775</stp>
        <tr r="F167" s="3"/>
      </tp>
    </main>
    <main first="bloomberg.ccyreader">
      <tp>
        <v>0</v>
        <stp/>
        <stp>#track</stp>
        <stp>DBG</stp>
        <stp>BIHITX</stp>
        <stp>1.0</stp>
        <stp>RepeatHit</stp>
        <tr r="A139" s="3"/>
      </tp>
    </main>
    <main first="bofaddin.rtdserver">
      <tp t="s">
        <v>#N/A N/A</v>
        <stp/>
        <stp>BDH|9153928895280833559</stp>
        <tr r="F204" s="3"/>
      </tp>
      <tp t="s">
        <v>#N/A N/A</v>
        <stp/>
        <stp>BDH|5799703102886668881</stp>
        <tr r="F240" s="3"/>
      </tp>
      <tp t="s">
        <v>#N/A N/A</v>
        <stp/>
        <stp>BDH|2401297769502670803</stp>
        <tr r="F214" s="3"/>
      </tp>
      <tp t="s">
        <v>#N/A N/A</v>
        <stp/>
        <stp>BDH|1130724937431775823</stp>
        <tr r="F229" s="3"/>
      </tp>
      <tp t="s">
        <v>#N/A N/A</v>
        <stp/>
        <stp>BDH|1199078664383605859</stp>
        <tr r="F148" s="3"/>
      </tp>
      <tp t="s">
        <v>#N/A N/A</v>
        <stp/>
        <stp>BDH|1476936055770829002</stp>
        <tr r="F207" s="3"/>
      </tp>
      <tp t="s">
        <v>#N/A N/A</v>
        <stp/>
        <stp>BDH|7659607973088059351</stp>
        <tr r="F194" s="3"/>
      </tp>
      <tp t="s">
        <v>#N/A N/A</v>
        <stp/>
        <stp>BDH|2184301362429294371</stp>
        <tr r="F152" s="3"/>
      </tp>
      <tp t="s">
        <v>#N/A N/A</v>
        <stp/>
        <stp>BDH|9484630478510260593</stp>
        <tr r="F220" s="3"/>
      </tp>
      <tp t="s">
        <v>#N/A N/A</v>
        <stp/>
        <stp>BDH|8761086045213917195</stp>
        <tr r="F226" s="3"/>
      </tp>
      <tp t="s">
        <v>#N/A N/A</v>
        <stp/>
        <stp>BDH|4156237679526734920</stp>
        <tr r="F184" s="3"/>
      </tp>
      <tp t="s">
        <v>#N/A N/A</v>
        <stp/>
        <stp>BDH|4187288043434637888</stp>
        <tr r="F227" s="3"/>
      </tp>
      <tp t="s">
        <v>#N/A N/A</v>
        <stp/>
        <stp>BDH|66668569687232446</stp>
        <tr r="F180" s="3"/>
      </tp>
      <tp t="s">
        <v>#N/A N/A</v>
        <stp/>
        <stp>BDH|7253057769138365641</stp>
        <tr r="F157" s="3"/>
      </tp>
      <tp t="s">
        <v>#N/A N/A</v>
        <stp/>
        <stp>BDH|9892323617505427159</stp>
        <tr r="F236" s="3"/>
      </tp>
      <tp t="s">
        <v>#N/A N/A</v>
        <stp/>
        <stp>BDH|7318903517466039643</stp>
        <tr r="F210" s="3"/>
      </tp>
      <tp t="s">
        <v>#N/A N/A</v>
        <stp/>
        <stp>BDH|6058331041229267710</stp>
        <tr r="F209" s="3"/>
      </tp>
      <tp t="s">
        <v>#N/A N/A</v>
        <stp/>
        <stp>BDH|3142736055847440979</stp>
        <tr r="F193" s="3"/>
      </tp>
      <tp t="s">
        <v>#N/A N/A</v>
        <stp/>
        <stp>BDH|2024753196487944379</stp>
        <tr r="F149" s="3"/>
      </tp>
      <tp t="s">
        <v>#N/A N/A</v>
        <stp/>
        <stp>BDH|2651318403979198080</stp>
        <tr r="C289" s="3"/>
        <tr r="C281" s="3"/>
      </tp>
      <tp t="s">
        <v>#N/A N/A</v>
        <stp/>
        <stp>BDH|7585209287856142349</stp>
        <tr r="F185" s="3"/>
      </tp>
      <tp t="s">
        <v>#N/A N/A</v>
        <stp/>
        <stp>BDH|8389024600173711321</stp>
        <tr r="F250" s="3"/>
      </tp>
      <tp t="s">
        <v>#N/A N/A</v>
        <stp/>
        <stp>BDH|9522245192243052830</stp>
        <tr r="F156" s="3"/>
      </tp>
      <tp t="s">
        <v>#N/A N/A</v>
        <stp/>
        <stp>BDH|9001100554354133000</stp>
        <tr r="F221" s="3"/>
      </tp>
      <tp t="s">
        <v>#N/A N/A</v>
        <stp/>
        <stp>BDH|4886840826876400246</stp>
        <tr r="F170" s="3"/>
      </tp>
      <tp t="s">
        <v>#N/A N/A</v>
        <stp/>
        <stp>BDH|6961743516479486360</stp>
        <tr r="F200" s="3"/>
      </tp>
      <tp t="s">
        <v>#N/A N/A</v>
        <stp/>
        <stp>BDH|4378216240681821949</stp>
        <tr r="F161" s="3"/>
      </tp>
      <tp t="s">
        <v>#N/A N/A</v>
        <stp/>
        <stp>BDH|9832880085435557606</stp>
        <tr r="F231" s="3"/>
      </tp>
      <tp t="s">
        <v>#N/A N/A</v>
        <stp/>
        <stp>BDH|7391328892442807477</stp>
        <tr r="F211" s="3"/>
      </tp>
      <tp t="s">
        <v>#N/A N/A</v>
        <stp/>
        <stp>BDH|7413209636719258429</stp>
        <tr r="F256" s="3"/>
      </tp>
      <tp t="s">
        <v>#N/A N/A</v>
        <stp/>
        <stp>BDH|1918438631374804932</stp>
        <tr r="F217" s="3"/>
      </tp>
      <tp t="s">
        <v>#N/A N/A</v>
        <stp/>
        <stp>BDH|2203506051880165947</stp>
        <tr r="F199" s="3"/>
      </tp>
      <tp t="s">
        <v>#N/A N/A</v>
        <stp/>
        <stp>BDH|6458755946937987997</stp>
        <tr r="F173" s="3"/>
      </tp>
      <tp t="s">
        <v>#N/A N/A</v>
        <stp/>
        <stp>BDH|2335873072221165738</stp>
        <tr r="F263" s="3"/>
      </tp>
      <tp t="s">
        <v>#N/A N/A</v>
        <stp/>
        <stp>BDH|9333355784176520004</stp>
        <tr r="F155" s="3"/>
      </tp>
      <tp t="s">
        <v>#N/A N/A</v>
        <stp/>
        <stp>BDH|4340235472914190148</stp>
        <tr r="F262" s="3"/>
      </tp>
      <tp t="s">
        <v>#N/A N/A</v>
        <stp/>
        <stp>BDH|5457524161332427064</stp>
        <tr r="F264" s="3"/>
      </tp>
      <tp t="s">
        <v>#N/A N/A</v>
        <stp/>
        <stp>BDH|2534607954655320106</stp>
        <tr r="F182" s="3"/>
      </tp>
      <tp t="s">
        <v>#N/A N/A</v>
        <stp/>
        <stp>BDH|6562546404140259615</stp>
        <tr r="F158" s="3"/>
      </tp>
      <tp t="s">
        <v>#N/A N/A</v>
        <stp/>
        <stp>BDH|2755466755016470066</stp>
        <tr r="F265" s="3"/>
      </tp>
      <tp t="s">
        <v>#N/A N/A</v>
        <stp/>
        <stp>BDH|6896296022726576526</stp>
        <tr r="F257" s="3"/>
      </tp>
      <tp t="s">
        <v>#N/A N/A</v>
        <stp/>
        <stp>BDH|5513046566030140628</stp>
        <tr r="F235" s="3"/>
      </tp>
      <tp t="s">
        <v>#N/A N/A</v>
        <stp/>
        <stp>BDH|2175294578673335280</stp>
        <tr r="F261" s="3"/>
      </tp>
      <tp t="s">
        <v>#N/A N/A</v>
        <stp/>
        <stp>BDH|4855290419461147076</stp>
        <tr r="F246" s="3"/>
      </tp>
      <tp t="s">
        <v>#N/A N/A</v>
        <stp/>
        <stp>BDH|1345831373278531095</stp>
        <tr r="F188" s="3"/>
      </tp>
      <tp t="s">
        <v>#N/A N/A</v>
        <stp/>
        <stp>BDH|6287099844083688744</stp>
        <tr r="F251" s="3"/>
      </tp>
      <tp t="s">
        <v>#N/A N/A</v>
        <stp/>
        <stp>BDH|9461092576601068989</stp>
        <tr r="F195" s="3"/>
      </tp>
      <tp t="s">
        <v>#N/A N/A</v>
        <stp/>
        <stp>BDH|1382211945628623920</stp>
        <tr r="F190" s="3"/>
      </tp>
      <tp t="s">
        <v>#N/A N/A</v>
        <stp/>
        <stp>BDH|7677080707190859105</stp>
        <tr r="F241" s="3"/>
      </tp>
      <tp t="s">
        <v>#N/A N/A</v>
        <stp/>
        <stp>BDH|7383203534375650486</stp>
        <tr r="F252" s="3"/>
      </tp>
      <tp t="s">
        <v>#N/A N/A</v>
        <stp/>
        <stp>BDH|9015859428212076642</stp>
        <tr r="F239" s="3"/>
      </tp>
      <tp t="s">
        <v>#N/A N/A</v>
        <stp/>
        <stp>BDH|6863584618300287544</stp>
        <tr r="F208" s="3"/>
      </tp>
      <tp t="s">
        <v>#N/A N/A</v>
        <stp/>
        <stp>BDH|1559005417400982791</stp>
        <tr r="F247" s="3"/>
      </tp>
      <tp t="s">
        <v>#N/A N/A</v>
        <stp/>
        <stp>BDH|1318833953762376916</stp>
        <tr r="F205" s="3"/>
      </tp>
      <tp t="s">
        <v>#N/A N/A</v>
        <stp/>
        <stp>BDH|6452336150874611353</stp>
        <tr r="F266" s="3"/>
      </tp>
      <tp t="s">
        <v>#N/A N/A</v>
        <stp/>
        <stp>BDH|8333911229304083743</stp>
        <tr r="F223" s="3"/>
      </tp>
      <tp t="s">
        <v>#N/A N/A</v>
        <stp/>
        <stp>BDH|6157130325287927223</stp>
        <tr r="F212" s="3"/>
      </tp>
      <tp t="s">
        <v>#N/A N/A</v>
        <stp/>
        <stp>BDH|3727876118858140295</stp>
        <tr r="F176" s="3"/>
      </tp>
      <tp t="s">
        <v>#N/A N/A</v>
        <stp/>
        <stp>BDH|8090672076420068904</stp>
        <tr r="F181" s="3"/>
      </tp>
      <tp t="s">
        <v>#N/A N/A</v>
        <stp/>
        <stp>BDH|5929074801734676065</stp>
        <tr r="F153" s="3"/>
      </tp>
      <tp t="s">
        <v>#N/A N/A</v>
        <stp/>
        <stp>BDH|7188763628693472061</stp>
        <tr r="C291" s="3"/>
        <tr r="C283" s="3"/>
      </tp>
      <tp t="s">
        <v>#N/A N/A</v>
        <stp/>
        <stp>BDH|7189914587977895092</stp>
        <tr r="F197" s="3"/>
      </tp>
      <tp t="s">
        <v>#N/A N/A</v>
        <stp/>
        <stp>BDH|3320978498690108126</stp>
        <tr r="F159" s="3"/>
      </tp>
      <tp t="s">
        <v>#N/A N/A</v>
        <stp/>
        <stp>BDH|7762028981618181513</stp>
        <tr r="F202" s="3"/>
      </tp>
      <tp t="s">
        <v>#N/A N/A</v>
        <stp/>
        <stp>BDH|5789695430662617124</stp>
        <tr r="F151" s="3"/>
      </tp>
      <tp t="s">
        <v>#N/A N/A</v>
        <stp/>
        <stp>BDH|2329106855533301681</stp>
        <tr r="F243" s="3"/>
      </tp>
      <tp t="s">
        <v>#N/A N/A</v>
        <stp/>
        <stp>BDH|6359732841915784362</stp>
        <tr r="F218" s="3"/>
      </tp>
      <tp t="s">
        <v>#N/A N/A</v>
        <stp/>
        <stp>BDH|9318378771889479758</stp>
        <tr r="F224" s="3"/>
      </tp>
      <tp t="s">
        <v>#N/A N/A</v>
        <stp/>
        <stp>BDH|851011358416512619</stp>
        <tr r="F196" s="3"/>
      </tp>
      <tp t="s">
        <v>#N/A N/A</v>
        <stp/>
        <stp>BDH|765855326929449483</stp>
        <tr r="F178" s="3"/>
      </tp>
      <tp t="s">
        <v>#N/A N/A</v>
        <stp/>
        <stp>BDH|413606223050398325</stp>
        <tr r="F162" s="3"/>
      </tp>
      <tp t="s">
        <v>#N/A N/A</v>
        <stp/>
        <stp>BDH|212106675140499684</stp>
        <tr r="C287" s="3"/>
        <tr r="C279" s="3"/>
      </tp>
      <tp t="s">
        <v>#N/A N/A</v>
        <stp/>
        <stp>BDH|913774498969466508</stp>
        <tr r="F260" s="3"/>
      </tp>
      <tp t="s">
        <v>#N/A N/A</v>
        <stp/>
        <stp>BDH|380327989233807158</stp>
        <tr r="F249" s="3"/>
      </tp>
      <tp t="s">
        <v>#N/A N/A</v>
        <stp/>
        <stp>BDH|906161372039063434</stp>
        <tr r="F175" s="3"/>
      </tp>
      <tp t="s">
        <v>#N/A N/A</v>
        <stp/>
        <stp>BDH|620892733224005535</stp>
        <tr r="F259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29"/>
  <sheetViews>
    <sheetView tabSelected="1" topLeftCell="A103" workbookViewId="0"/>
  </sheetViews>
  <sheetFormatPr defaultRowHeight="15" x14ac:dyDescent="0.25"/>
  <cols>
    <col min="1" max="1" width="56.28515625" customWidth="1"/>
    <col min="2" max="2" width="15.85546875" customWidth="1"/>
    <col min="3" max="65" width="9.140625" bestFit="1" customWidth="1"/>
  </cols>
  <sheetData>
    <row r="1" spans="1:6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x14ac:dyDescent="0.25">
      <c r="A2" t="str">
        <f>IFERROR(IF(0=LEN(ReferenceData!$A$2),"",ReferenceData!$A$2),"")</f>
        <v>Description</v>
      </c>
      <c r="B2" t="str">
        <f>IFERROR(IF(0=LEN(ReferenceData!$B$2),"",ReferenceData!$B$2),"")</f>
        <v>Ticker</v>
      </c>
      <c r="C2" t="str">
        <f>IFERROR(IF(0=LEN(ReferenceData!$C$2),"",ReferenceData!$C$2),"")</f>
        <v>Field ID</v>
      </c>
      <c r="D2" t="str">
        <f>IFERROR(IF(0=LEN(ReferenceData!$D$2),"",ReferenceData!$D$2),"")</f>
        <v>Field Mnemonic</v>
      </c>
      <c r="E2" t="str">
        <f>IFERROR(IF(0=LEN(ReferenceData!$E$2),"",ReferenceData!$E$2),"")</f>
        <v>Data State</v>
      </c>
      <c r="F2" t="str">
        <f>IFERROR(IF(0=LEN(ReferenceData!$F$2),"",ReferenceData!$F$2),"")</f>
        <v>2024 Q4</v>
      </c>
      <c r="G2" t="str">
        <f>IFERROR(IF(0=LEN(ReferenceData!$G$2),"",ReferenceData!$G$2),"")</f>
        <v>2024 Q3</v>
      </c>
      <c r="H2" t="str">
        <f>IFERROR(IF(0=LEN(ReferenceData!$H$2),"",ReferenceData!$H$2),"")</f>
        <v>2024 Q2</v>
      </c>
      <c r="I2" t="str">
        <f>IFERROR(IF(0=LEN(ReferenceData!$I$2),"",ReferenceData!$I$2),"")</f>
        <v>2024 Q1</v>
      </c>
      <c r="J2" t="str">
        <f>IFERROR(IF(0=LEN(ReferenceData!$J$2),"",ReferenceData!$J$2),"")</f>
        <v>2023 Q4</v>
      </c>
      <c r="K2" t="str">
        <f>IFERROR(IF(0=LEN(ReferenceData!$K$2),"",ReferenceData!$K$2),"")</f>
        <v>2023 Q3</v>
      </c>
      <c r="L2" t="str">
        <f>IFERROR(IF(0=LEN(ReferenceData!$L$2),"",ReferenceData!$L$2),"")</f>
        <v>2023 Q2</v>
      </c>
      <c r="M2" t="str">
        <f>IFERROR(IF(0=LEN(ReferenceData!$M$2),"",ReferenceData!$M$2),"")</f>
        <v>2023 Q1</v>
      </c>
      <c r="N2" t="str">
        <f>IFERROR(IF(0=LEN(ReferenceData!$N$2),"",ReferenceData!$N$2),"")</f>
        <v>2022 Q4</v>
      </c>
      <c r="O2" t="str">
        <f>IFERROR(IF(0=LEN(ReferenceData!$O$2),"",ReferenceData!$O$2),"")</f>
        <v>2022 Q3</v>
      </c>
      <c r="P2" t="str">
        <f>IFERROR(IF(0=LEN(ReferenceData!$P$2),"",ReferenceData!$P$2),"")</f>
        <v>2022 Q2</v>
      </c>
      <c r="Q2" t="str">
        <f>IFERROR(IF(0=LEN(ReferenceData!$Q$2),"",ReferenceData!$Q$2),"")</f>
        <v>2022 Q1</v>
      </c>
      <c r="R2" t="str">
        <f>IFERROR(IF(0=LEN(ReferenceData!$R$2),"",ReferenceData!$R$2),"")</f>
        <v>2021 Q4</v>
      </c>
      <c r="S2" t="str">
        <f>IFERROR(IF(0=LEN(ReferenceData!$S$2),"",ReferenceData!$S$2),"")</f>
        <v>2021 Q3</v>
      </c>
      <c r="T2" t="str">
        <f>IFERROR(IF(0=LEN(ReferenceData!$T$2),"",ReferenceData!$T$2),"")</f>
        <v>2021 Q2</v>
      </c>
      <c r="U2" t="str">
        <f>IFERROR(IF(0=LEN(ReferenceData!$U$2),"",ReferenceData!$U$2),"")</f>
        <v>2021 Q1</v>
      </c>
      <c r="V2" t="str">
        <f>IFERROR(IF(0=LEN(ReferenceData!$V$2),"",ReferenceData!$V$2),"")</f>
        <v>2020 Q4</v>
      </c>
      <c r="W2" t="str">
        <f>IFERROR(IF(0=LEN(ReferenceData!$W$2),"",ReferenceData!$W$2),"")</f>
        <v>2020 Q3</v>
      </c>
      <c r="X2" t="str">
        <f>IFERROR(IF(0=LEN(ReferenceData!$X$2),"",ReferenceData!$X$2),"")</f>
        <v>2020 Q2</v>
      </c>
      <c r="Y2" t="str">
        <f>IFERROR(IF(0=LEN(ReferenceData!$Y$2),"",ReferenceData!$Y$2),"")</f>
        <v>2020 Q1</v>
      </c>
      <c r="Z2" t="str">
        <f>IFERROR(IF(0=LEN(ReferenceData!$Z$2),"",ReferenceData!$Z$2),"")</f>
        <v>2019 Q4</v>
      </c>
      <c r="AA2" t="str">
        <f>IFERROR(IF(0=LEN(ReferenceData!$AA$2),"",ReferenceData!$AA$2),"")</f>
        <v>2019 Q3</v>
      </c>
      <c r="AB2" t="str">
        <f>IFERROR(IF(0=LEN(ReferenceData!$AB$2),"",ReferenceData!$AB$2),"")</f>
        <v>2019 Q2</v>
      </c>
      <c r="AC2" t="str">
        <f>IFERROR(IF(0=LEN(ReferenceData!$AC$2),"",ReferenceData!$AC$2),"")</f>
        <v>2019 Q1</v>
      </c>
      <c r="AD2" t="str">
        <f>IFERROR(IF(0=LEN(ReferenceData!$AD$2),"",ReferenceData!$AD$2),"")</f>
        <v>2018 Q4</v>
      </c>
      <c r="AE2" t="str">
        <f>IFERROR(IF(0=LEN(ReferenceData!$AE$2),"",ReferenceData!$AE$2),"")</f>
        <v>2018 Q3</v>
      </c>
      <c r="AF2" t="str">
        <f>IFERROR(IF(0=LEN(ReferenceData!$AF$2),"",ReferenceData!$AF$2),"")</f>
        <v>2018 Q2</v>
      </c>
      <c r="AG2" t="str">
        <f>IFERROR(IF(0=LEN(ReferenceData!$AG$2),"",ReferenceData!$AG$2),"")</f>
        <v>2018 Q1</v>
      </c>
      <c r="AH2" t="str">
        <f>IFERROR(IF(0=LEN(ReferenceData!$AH$2),"",ReferenceData!$AH$2),"")</f>
        <v>2017 Q4</v>
      </c>
      <c r="AI2" t="str">
        <f>IFERROR(IF(0=LEN(ReferenceData!$AI$2),"",ReferenceData!$AI$2),"")</f>
        <v>2017 Q3</v>
      </c>
      <c r="AJ2" t="str">
        <f>IFERROR(IF(0=LEN(ReferenceData!$AJ$2),"",ReferenceData!$AJ$2),"")</f>
        <v>2017 Q2</v>
      </c>
      <c r="AK2" t="str">
        <f>IFERROR(IF(0=LEN(ReferenceData!$AK$2),"",ReferenceData!$AK$2),"")</f>
        <v>2017 Q1</v>
      </c>
      <c r="AL2" t="str">
        <f>IFERROR(IF(0=LEN(ReferenceData!$AL$2),"",ReferenceData!$AL$2),"")</f>
        <v>2016 Q4</v>
      </c>
      <c r="AM2" t="str">
        <f>IFERROR(IF(0=LEN(ReferenceData!$AM$2),"",ReferenceData!$AM$2),"")</f>
        <v>2016 Q3</v>
      </c>
      <c r="AN2" t="str">
        <f>IFERROR(IF(0=LEN(ReferenceData!$AN$2),"",ReferenceData!$AN$2),"")</f>
        <v>2016 Q2</v>
      </c>
      <c r="AO2" t="str">
        <f>IFERROR(IF(0=LEN(ReferenceData!$AO$2),"",ReferenceData!$AO$2),"")</f>
        <v>2016 Q1</v>
      </c>
      <c r="AP2" t="str">
        <f>IFERROR(IF(0=LEN(ReferenceData!$AP$2),"",ReferenceData!$AP$2),"")</f>
        <v>2015 Q4</v>
      </c>
      <c r="AQ2" t="str">
        <f>IFERROR(IF(0=LEN(ReferenceData!$AQ$2),"",ReferenceData!$AQ$2),"")</f>
        <v>2015 Q3</v>
      </c>
      <c r="AR2" t="str">
        <f>IFERROR(IF(0=LEN(ReferenceData!$AR$2),"",ReferenceData!$AR$2),"")</f>
        <v>2015 Q2</v>
      </c>
      <c r="AS2" t="str">
        <f>IFERROR(IF(0=LEN(ReferenceData!$AS$2),"",ReferenceData!$AS$2),"")</f>
        <v>2015 Q1</v>
      </c>
      <c r="AT2" t="str">
        <f>IFERROR(IF(0=LEN(ReferenceData!$AT$2),"",ReferenceData!$AT$2),"")</f>
        <v>2014 Q4</v>
      </c>
      <c r="AU2" t="str">
        <f>IFERROR(IF(0=LEN(ReferenceData!$AU$2),"",ReferenceData!$AU$2),"")</f>
        <v>2014 Q3</v>
      </c>
      <c r="AV2" t="str">
        <f>IFERROR(IF(0=LEN(ReferenceData!$AV$2),"",ReferenceData!$AV$2),"")</f>
        <v>2014 Q2</v>
      </c>
      <c r="AW2" t="str">
        <f>IFERROR(IF(0=LEN(ReferenceData!$AW$2),"",ReferenceData!$AW$2),"")</f>
        <v>2014 Q1</v>
      </c>
      <c r="AX2" t="str">
        <f>IFERROR(IF(0=LEN(ReferenceData!$AX$2),"",ReferenceData!$AX$2),"")</f>
        <v>2013 Q4</v>
      </c>
      <c r="AY2" t="str">
        <f>IFERROR(IF(0=LEN(ReferenceData!$AY$2),"",ReferenceData!$AY$2),"")</f>
        <v>2013 Q3</v>
      </c>
      <c r="AZ2" t="str">
        <f>IFERROR(IF(0=LEN(ReferenceData!$AZ$2),"",ReferenceData!$AZ$2),"")</f>
        <v>2013 Q2</v>
      </c>
      <c r="BA2" t="str">
        <f>IFERROR(IF(0=LEN(ReferenceData!$BA$2),"",ReferenceData!$BA$2),"")</f>
        <v>2013 Q1</v>
      </c>
      <c r="BB2" t="str">
        <f>IFERROR(IF(0=LEN(ReferenceData!$BB$2),"",ReferenceData!$BB$2),"")</f>
        <v>2012 Q4</v>
      </c>
      <c r="BC2" t="str">
        <f>IFERROR(IF(0=LEN(ReferenceData!$BC$2),"",ReferenceData!$BC$2),"")</f>
        <v>2012 Q3</v>
      </c>
      <c r="BD2" t="str">
        <f>IFERROR(IF(0=LEN(ReferenceData!$BD$2),"",ReferenceData!$BD$2),"")</f>
        <v>2012 Q2</v>
      </c>
      <c r="BE2" t="str">
        <f>IFERROR(IF(0=LEN(ReferenceData!$BE$2),"",ReferenceData!$BE$2),"")</f>
        <v>2012 Q1</v>
      </c>
      <c r="BF2" t="str">
        <f>IFERROR(IF(0=LEN(ReferenceData!$BF$2),"",ReferenceData!$BF$2),"")</f>
        <v>2011 Q4</v>
      </c>
      <c r="BG2" t="str">
        <f>IFERROR(IF(0=LEN(ReferenceData!$BG$2),"",ReferenceData!$BG$2),"")</f>
        <v>2011 Q3</v>
      </c>
      <c r="BH2" t="str">
        <f>IFERROR(IF(0=LEN(ReferenceData!$BH$2),"",ReferenceData!$BH$2),"")</f>
        <v>2011 Q2</v>
      </c>
      <c r="BI2" t="str">
        <f>IFERROR(IF(0=LEN(ReferenceData!$BI$2),"",ReferenceData!$BI$2),"")</f>
        <v>2011 Q1</v>
      </c>
      <c r="BJ2" t="str">
        <f>IFERROR(IF(0=LEN(ReferenceData!$BJ$2),"",ReferenceData!$BJ$2),"")</f>
        <v>2010 Q4</v>
      </c>
      <c r="BK2" t="str">
        <f>IFERROR(IF(0=LEN(ReferenceData!$BK$2),"",ReferenceData!$BK$2),"")</f>
        <v>2010 Q3</v>
      </c>
      <c r="BL2" t="str">
        <f>IFERROR(IF(0=LEN(ReferenceData!$BL$2),"",ReferenceData!$BL$2),"")</f>
        <v>2010 Q2</v>
      </c>
      <c r="BM2" t="str">
        <f>IFERROR(IF(0=LEN(ReferenceData!$BM$2),"",ReferenceData!$BM$2),"")</f>
        <v>2010 Q1</v>
      </c>
    </row>
    <row r="3" spans="1:65" x14ac:dyDescent="0.25">
      <c r="A3" t="str">
        <f>IFERROR(IF(0=LEN(ReferenceData!$A$3),"",ReferenceData!$A$3),"")</f>
        <v>Balance Sheet - Assets - Securities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Expression</v>
      </c>
      <c r="F3">
        <f ca="1">IFERROR(IF(0=LEN(ReferenceData!$F$3),"",ReferenceData!$F$3),"")</f>
        <v>3112187.0589999999</v>
      </c>
      <c r="G3">
        <f ca="1">IFERROR(IF(0=LEN(ReferenceData!$G$3),"",ReferenceData!$G$3),"")</f>
        <v>3246324.3679999998</v>
      </c>
      <c r="H3">
        <f ca="1">IFERROR(IF(0=LEN(ReferenceData!$H$3),"",ReferenceData!$H$3),"")</f>
        <v>3190179.1540000001</v>
      </c>
      <c r="I3">
        <f ca="1">IFERROR(IF(0=LEN(ReferenceData!$I$3),"",ReferenceData!$I$3),"")</f>
        <v>3194739.4640000002</v>
      </c>
      <c r="J3">
        <f ca="1">IFERROR(IF(0=LEN(ReferenceData!$J$3),"",ReferenceData!$J$3),"")</f>
        <v>3146521.3119999999</v>
      </c>
      <c r="K3">
        <f ca="1">IFERROR(IF(0=LEN(ReferenceData!$K$3),"",ReferenceData!$K$3),"")</f>
        <v>3032681.3289999999</v>
      </c>
      <c r="L3">
        <f ca="1">IFERROR(IF(0=LEN(ReferenceData!$L$3),"",ReferenceData!$L$3),"")</f>
        <v>3066093.9849999999</v>
      </c>
      <c r="M3">
        <f ca="1">IFERROR(IF(0=LEN(ReferenceData!$M$3),"",ReferenceData!$M$3),"")</f>
        <v>3137649.923</v>
      </c>
      <c r="N3">
        <f ca="1">IFERROR(IF(0=LEN(ReferenceData!$N$3),"",ReferenceData!$N$3),"")</f>
        <v>3231496.8130000001</v>
      </c>
      <c r="O3">
        <f ca="1">IFERROR(IF(0=LEN(ReferenceData!$O$3),"",ReferenceData!$O$3),"")</f>
        <v>3209716.5260000001</v>
      </c>
      <c r="P3">
        <f ca="1">IFERROR(IF(0=LEN(ReferenceData!$P$3),"",ReferenceData!$P$3),"")</f>
        <v>3352786.3459999999</v>
      </c>
      <c r="Q3">
        <f ca="1">IFERROR(IF(0=LEN(ReferenceData!$Q$3),"",ReferenceData!$Q$3),"")</f>
        <v>3424033.2820000001</v>
      </c>
      <c r="R3">
        <f ca="1">IFERROR(IF(0=LEN(ReferenceData!$R$3),"",ReferenceData!$R$3),"")</f>
        <v>3427075.2749999999</v>
      </c>
      <c r="S3">
        <f ca="1">IFERROR(IF(0=LEN(ReferenceData!$S$3),"",ReferenceData!$S$3),"")</f>
        <v>3273918.4810000001</v>
      </c>
      <c r="T3">
        <f ca="1">IFERROR(IF(0=LEN(ReferenceData!$T$3),"",ReferenceData!$T$3),"")</f>
        <v>3200229.148</v>
      </c>
      <c r="U3">
        <f ca="1">IFERROR(IF(0=LEN(ReferenceData!$U$3),"",ReferenceData!$U$3),"")</f>
        <v>3046941.7170000002</v>
      </c>
      <c r="V3">
        <f ca="1">IFERROR(IF(0=LEN(ReferenceData!$V$3),"",ReferenceData!$V$3),"")</f>
        <v>2771134.92</v>
      </c>
      <c r="W3">
        <f ca="1">IFERROR(IF(0=LEN(ReferenceData!$W$3),"",ReferenceData!$W$3),"")</f>
        <v>2549648.7310000001</v>
      </c>
      <c r="X3">
        <f ca="1">IFERROR(IF(0=LEN(ReferenceData!$X$3),"",ReferenceData!$X$3),"")</f>
        <v>2416273.9109999998</v>
      </c>
      <c r="Y3">
        <f ca="1">IFERROR(IF(0=LEN(ReferenceData!$Y$3),"",ReferenceData!$Y$3),"")</f>
        <v>2300869.108</v>
      </c>
      <c r="Z3">
        <f ca="1">IFERROR(IF(0=LEN(ReferenceData!$Z$3),"",ReferenceData!$Z$3),"")</f>
        <v>2176702.1329999999</v>
      </c>
      <c r="AA3">
        <f ca="1">IFERROR(IF(0=LEN(ReferenceData!$AA$3),"",ReferenceData!$AA$3),"")</f>
        <v>2128858.5720000002</v>
      </c>
      <c r="AB3">
        <f ca="1">IFERROR(IF(0=LEN(ReferenceData!$AB$3),"",ReferenceData!$AB$3),"")</f>
        <v>2004431.027</v>
      </c>
      <c r="AC3">
        <f ca="1">IFERROR(IF(0=LEN(ReferenceData!$AC$3),"",ReferenceData!$AC$3),"")</f>
        <v>1958442.8840000001</v>
      </c>
      <c r="AD3">
        <f ca="1">IFERROR(IF(0=LEN(ReferenceData!$AD$3),"",ReferenceData!$AD$3),"")</f>
        <v>1956848.5009999999</v>
      </c>
      <c r="AE3">
        <f ca="1">IFERROR(IF(0=LEN(ReferenceData!$AE$3),"",ReferenceData!$AE$3),"")</f>
        <v>1899709.0660000001</v>
      </c>
      <c r="AF3">
        <f ca="1">IFERROR(IF(0=LEN(ReferenceData!$AF$3),"",ReferenceData!$AF$3),"")</f>
        <v>1903562.7720000001</v>
      </c>
      <c r="AG3">
        <f ca="1">IFERROR(IF(0=LEN(ReferenceData!$AG$3),"",ReferenceData!$AG$3),"")</f>
        <v>1888906.08</v>
      </c>
      <c r="AH3">
        <f ca="1">IFERROR(IF(0=LEN(ReferenceData!$AH$3),"",ReferenceData!$AH$3),"")</f>
        <v>1923350.078</v>
      </c>
      <c r="AI3">
        <f ca="1">IFERROR(IF(0=LEN(ReferenceData!$AI$3),"",ReferenceData!$AI$3),"")</f>
        <v>1928129.7180000001</v>
      </c>
      <c r="AJ3">
        <f ca="1">IFERROR(IF(0=LEN(ReferenceData!$AJ$3),"",ReferenceData!$AJ$3),"")</f>
        <v>1915609.159</v>
      </c>
      <c r="AK3">
        <f ca="1">IFERROR(IF(0=LEN(ReferenceData!$AK$3),"",ReferenceData!$AK$3),"")</f>
        <v>1918924.078</v>
      </c>
      <c r="AL3">
        <f ca="1">IFERROR(IF(0=LEN(ReferenceData!$AL$3),"",ReferenceData!$AL$3),"")</f>
        <v>1930040.895</v>
      </c>
      <c r="AM3">
        <f ca="1">IFERROR(IF(0=LEN(ReferenceData!$AM$3),"",ReferenceData!$AM$3),"")</f>
        <v>1902925.2609999999</v>
      </c>
      <c r="AN3">
        <f ca="1">IFERROR(IF(0=LEN(ReferenceData!$AN$3),"",ReferenceData!$AN$3),"")</f>
        <v>1828865.0719999999</v>
      </c>
      <c r="AO3">
        <f ca="1">IFERROR(IF(0=LEN(ReferenceData!$AO$3),"",ReferenceData!$AO$3),"")</f>
        <v>1800237.057</v>
      </c>
      <c r="AP3">
        <f ca="1">IFERROR(IF(0=LEN(ReferenceData!$AP$3),"",ReferenceData!$AP$3),"")</f>
        <v>1805765.949</v>
      </c>
      <c r="AQ3">
        <f ca="1">IFERROR(IF(0=LEN(ReferenceData!$AQ$3),"",ReferenceData!$AQ$3),"")</f>
        <v>1785497.078</v>
      </c>
      <c r="AR3">
        <f ca="1">IFERROR(IF(0=LEN(ReferenceData!$AR$3),"",ReferenceData!$AR$3),"")</f>
        <v>1762420.3189999999</v>
      </c>
      <c r="AS3">
        <f ca="1">IFERROR(IF(0=LEN(ReferenceData!$AS$3),"",ReferenceData!$AS$3),"")</f>
        <v>1741122.5349999999</v>
      </c>
      <c r="AT3">
        <f ca="1">IFERROR(IF(0=LEN(ReferenceData!$AT$3),"",ReferenceData!$AT$3),"")</f>
        <v>1732236.787</v>
      </c>
      <c r="AU3">
        <f ca="1">IFERROR(IF(0=LEN(ReferenceData!$AU$3),"",ReferenceData!$AU$3),"")</f>
        <v>1701352.7420000001</v>
      </c>
      <c r="AV3">
        <f ca="1">IFERROR(IF(0=LEN(ReferenceData!$AV$3),"",ReferenceData!$AV$3),"")</f>
        <v>1655986.2890000001</v>
      </c>
      <c r="AW3">
        <f ca="1">IFERROR(IF(0=LEN(ReferenceData!$AW$3),"",ReferenceData!$AW$3),"")</f>
        <v>1610004.345</v>
      </c>
      <c r="AX3">
        <f ca="1">IFERROR(IF(0=LEN(ReferenceData!$AX$3),"",ReferenceData!$AX$3),"")</f>
        <v>1574893.649</v>
      </c>
      <c r="AY3">
        <f ca="1">IFERROR(IF(0=LEN(ReferenceData!$AY$3),"",ReferenceData!$AY$3),"")</f>
        <v>1550187.6910000001</v>
      </c>
      <c r="AZ3">
        <f ca="1">IFERROR(IF(0=LEN(ReferenceData!$AZ$3),"",ReferenceData!$AZ$3),"")</f>
        <v>1533091.1340000001</v>
      </c>
      <c r="BA3">
        <f ca="1">IFERROR(IF(0=LEN(ReferenceData!$BA$3),"",ReferenceData!$BA$3),"")</f>
        <v>1569949.2239999999</v>
      </c>
      <c r="BB3">
        <f ca="1">IFERROR(IF(0=LEN(ReferenceData!$BB$3),"",ReferenceData!$BB$3),"")</f>
        <v>1597003.0919999999</v>
      </c>
      <c r="BC3">
        <f ca="1">IFERROR(IF(0=LEN(ReferenceData!$BC$3),"",ReferenceData!$BC$3),"")</f>
        <v>1578840.051</v>
      </c>
      <c r="BD3">
        <f ca="1">IFERROR(IF(0=LEN(ReferenceData!$BD$3),"",ReferenceData!$BD$3),"")</f>
        <v>1556905.8959999999</v>
      </c>
      <c r="BE3">
        <f ca="1">IFERROR(IF(0=LEN(ReferenceData!$BE$3),"",ReferenceData!$BE$3),"")</f>
        <v>1584585.8540000001</v>
      </c>
      <c r="BF3">
        <f ca="1">IFERROR(IF(0=LEN(ReferenceData!$BF$3),"",ReferenceData!$BF$3),"")</f>
        <v>1508725.83</v>
      </c>
      <c r="BG3">
        <f ca="1">IFERROR(IF(0=LEN(ReferenceData!$BG$3),"",ReferenceData!$BG$3),"")</f>
        <v>1493107.2279999999</v>
      </c>
      <c r="BH3">
        <f ca="1">IFERROR(IF(0=LEN(ReferenceData!$BH$3),"",ReferenceData!$BH$3),"")</f>
        <v>1457464.84</v>
      </c>
      <c r="BI3">
        <f ca="1">IFERROR(IF(0=LEN(ReferenceData!$BI$3),"",ReferenceData!$BI$3),"")</f>
        <v>1467799.351</v>
      </c>
      <c r="BJ3">
        <f ca="1">IFERROR(IF(0=LEN(ReferenceData!$BJ$3),"",ReferenceData!$BJ$3),"")</f>
        <v>1448762.8119999999</v>
      </c>
      <c r="BK3">
        <f ca="1">IFERROR(IF(0=LEN(ReferenceData!$BK$3),"",ReferenceData!$BK$3),"")</f>
        <v>1477415.8970000001</v>
      </c>
      <c r="BL3">
        <f ca="1">IFERROR(IF(0=LEN(ReferenceData!$BL$3),"",ReferenceData!$BL$3),"")</f>
        <v>1373419.804</v>
      </c>
      <c r="BM3">
        <f ca="1">IFERROR(IF(0=LEN(ReferenceData!$BM$3),"",ReferenceData!$BM$3),"")</f>
        <v>88236.451000000001</v>
      </c>
    </row>
    <row r="4" spans="1:65" x14ac:dyDescent="0.25">
      <c r="A4" t="str">
        <f>IFERROR(IF(0=LEN(ReferenceData!$A$4),"",ReferenceData!$A$4),"")</f>
        <v xml:space="preserve">            Held-to-maturity Securities</v>
      </c>
      <c r="B4" t="str">
        <f>IFERROR(IF(0=LEN(ReferenceData!$B$4),"",ReferenceData!$B$4),"")</f>
        <v/>
      </c>
      <c r="C4" t="str">
        <f>IFERROR(IF(0=LEN(ReferenceData!$C$4),"",ReferenceData!$C$4),"")</f>
        <v/>
      </c>
      <c r="D4" t="str">
        <f>IFERROR(IF(0=LEN(ReferenceData!$D$4),"",ReferenceData!$D$4),"")</f>
        <v/>
      </c>
      <c r="E4" t="str">
        <f>IFERROR(IF(0=LEN(ReferenceData!$E$4),"",ReferenceData!$E$4),"")</f>
        <v>Sum</v>
      </c>
      <c r="F4">
        <f ca="1">IFERROR(IF(0=LEN(ReferenceData!$F$4),"",ReferenceData!$F$4),"")</f>
        <v>1512637.4789999998</v>
      </c>
      <c r="G4">
        <f ca="1">IFERROR(IF(0=LEN(ReferenceData!$G$4),"",ReferenceData!$G$4),"")</f>
        <v>1566444.534</v>
      </c>
      <c r="H4">
        <f ca="1">IFERROR(IF(0=LEN(ReferenceData!$H$4),"",ReferenceData!$H$4),"")</f>
        <v>1708612.8109999998</v>
      </c>
      <c r="I4">
        <f ca="1">IFERROR(IF(0=LEN(ReferenceData!$I$4),"",ReferenceData!$I$4),"")</f>
        <v>1742169.1930000002</v>
      </c>
      <c r="J4">
        <f ca="1">IFERROR(IF(0=LEN(ReferenceData!$J$4),"",ReferenceData!$J$4),"")</f>
        <v>1784956.9129999999</v>
      </c>
      <c r="K4">
        <f ca="1">IFERROR(IF(0=LEN(ReferenceData!$K$4),"",ReferenceData!$K$4),"")</f>
        <v>1826313.274</v>
      </c>
      <c r="L4">
        <f ca="1">IFERROR(IF(0=LEN(ReferenceData!$L$4),"",ReferenceData!$L$4),"")</f>
        <v>1871819.78</v>
      </c>
      <c r="M4">
        <f ca="1">IFERROR(IF(0=LEN(ReferenceData!$M$4),"",ReferenceData!$M$4),"")</f>
        <v>1898372.8989999997</v>
      </c>
      <c r="N4">
        <f ca="1">IFERROR(IF(0=LEN(ReferenceData!$N$4),"",ReferenceData!$N$4),"")</f>
        <v>1941623.101</v>
      </c>
      <c r="O4">
        <f ca="1">IFERROR(IF(0=LEN(ReferenceData!$O$4),"",ReferenceData!$O$4),"")</f>
        <v>1940889.5730000001</v>
      </c>
      <c r="P4">
        <f ca="1">IFERROR(IF(0=LEN(ReferenceData!$P$4),"",ReferenceData!$P$4),"")</f>
        <v>1934892.351</v>
      </c>
      <c r="Q4">
        <f ca="1">IFERROR(IF(0=LEN(ReferenceData!$Q$4),"",ReferenceData!$Q$4),"")</f>
        <v>1732614.0959999999</v>
      </c>
      <c r="R4">
        <f ca="1">IFERROR(IF(0=LEN(ReferenceData!$R$4),"",ReferenceData!$R$4),"")</f>
        <v>1603510.5220000003</v>
      </c>
      <c r="S4">
        <f ca="1">IFERROR(IF(0=LEN(ReferenceData!$S$4),"",ReferenceData!$S$4),"")</f>
        <v>1520629.804</v>
      </c>
      <c r="T4">
        <f ca="1">IFERROR(IF(0=LEN(ReferenceData!$T$4),"",ReferenceData!$T$4),"")</f>
        <v>1460327.713</v>
      </c>
      <c r="U4">
        <f ca="1">IFERROR(IF(0=LEN(ReferenceData!$U$4),"",ReferenceData!$U$4),"")</f>
        <v>1213736.3319999999</v>
      </c>
      <c r="V4">
        <f ca="1">IFERROR(IF(0=LEN(ReferenceData!$V$4),"",ReferenceData!$V$4),"")</f>
        <v>978367.20899999992</v>
      </c>
      <c r="W4">
        <f ca="1">IFERROR(IF(0=LEN(ReferenceData!$W$4),"",ReferenceData!$W$4),"")</f>
        <v>784228.21099999989</v>
      </c>
      <c r="X4">
        <f ca="1">IFERROR(IF(0=LEN(ReferenceData!$X$4),"",ReferenceData!$X$4),"")</f>
        <v>621828.35600000003</v>
      </c>
      <c r="Y4">
        <f ca="1">IFERROR(IF(0=LEN(ReferenceData!$Y$4),"",ReferenceData!$Y$4),"")</f>
        <v>607482.26500000001</v>
      </c>
      <c r="Z4">
        <f ca="1">IFERROR(IF(0=LEN(ReferenceData!$Z$4),"",ReferenceData!$Z$4),"")</f>
        <v>542466.73399999994</v>
      </c>
      <c r="AA4">
        <f ca="1">IFERROR(IF(0=LEN(ReferenceData!$AA$4),"",ReferenceData!$AA$4),"")</f>
        <v>607288.47</v>
      </c>
      <c r="AB4">
        <f ca="1">IFERROR(IF(0=LEN(ReferenceData!$AB$4),"",ReferenceData!$AB$4),"")</f>
        <v>596433.04700000002</v>
      </c>
      <c r="AC4">
        <f ca="1">IFERROR(IF(0=LEN(ReferenceData!$AC$4),"",ReferenceData!$AC$4),"")</f>
        <v>594133.77500000002</v>
      </c>
      <c r="AD4">
        <f ca="1">IFERROR(IF(0=LEN(ReferenceData!$AD$4),"",ReferenceData!$AD$4),"")</f>
        <v>597466.88199999998</v>
      </c>
      <c r="AE4">
        <f ca="1">IFERROR(IF(0=LEN(ReferenceData!$AE$4),"",ReferenceData!$AE$4),"")</f>
        <v>576692.0830000001</v>
      </c>
      <c r="AF4">
        <f ca="1">IFERROR(IF(0=LEN(ReferenceData!$AF$4),"",ReferenceData!$AF$4),"")</f>
        <v>544882.69099999999</v>
      </c>
      <c r="AG4">
        <f ca="1">IFERROR(IF(0=LEN(ReferenceData!$AG$4),"",ReferenceData!$AG$4),"")</f>
        <v>485797.84599999996</v>
      </c>
      <c r="AH4">
        <f ca="1">IFERROR(IF(0=LEN(ReferenceData!$AH$4),"",ReferenceData!$AH$4),"")</f>
        <v>512449.36699999997</v>
      </c>
      <c r="AI4">
        <f ca="1">IFERROR(IF(0=LEN(ReferenceData!$AI$4),"",ReferenceData!$AI$4),"")</f>
        <v>507485.19299999997</v>
      </c>
      <c r="AJ4">
        <f ca="1">IFERROR(IF(0=LEN(ReferenceData!$AJ$4),"",ReferenceData!$AJ$4),"")</f>
        <v>495388.23599999998</v>
      </c>
      <c r="AK4">
        <f ca="1">IFERROR(IF(0=LEN(ReferenceData!$AK$4),"",ReferenceData!$AK$4),"")</f>
        <v>458558.99300000002</v>
      </c>
      <c r="AL4">
        <f ca="1">IFERROR(IF(0=LEN(ReferenceData!$AL$4),"",ReferenceData!$AL$4),"")</f>
        <v>446201.04599999997</v>
      </c>
      <c r="AM4">
        <f ca="1">IFERROR(IF(0=LEN(ReferenceData!$AM$4),"",ReferenceData!$AM$4),"")</f>
        <v>433499.45399999997</v>
      </c>
      <c r="AN4">
        <f ca="1">IFERROR(IF(0=LEN(ReferenceData!$AN$4),"",ReferenceData!$AN$4),"")</f>
        <v>418812.48300000001</v>
      </c>
      <c r="AO4">
        <f ca="1">IFERROR(IF(0=LEN(ReferenceData!$AO$4),"",ReferenceData!$AO$4),"")</f>
        <v>390776.69800000003</v>
      </c>
      <c r="AP4">
        <f ca="1">IFERROR(IF(0=LEN(ReferenceData!$AP$4),"",ReferenceData!$AP$4),"")</f>
        <v>380756.63300000003</v>
      </c>
      <c r="AQ4">
        <f ca="1">IFERROR(IF(0=LEN(ReferenceData!$AQ$4),"",ReferenceData!$AQ$4),"")</f>
        <v>358393.44600000005</v>
      </c>
      <c r="AR4">
        <f ca="1">IFERROR(IF(0=LEN(ReferenceData!$AR$4),"",ReferenceData!$AR$4),"")</f>
        <v>352846.37399999995</v>
      </c>
      <c r="AS4">
        <f ca="1">IFERROR(IF(0=LEN(ReferenceData!$AS$4),"",ReferenceData!$AS$4),"")</f>
        <v>329748.462</v>
      </c>
      <c r="AT4">
        <f ca="1">IFERROR(IF(0=LEN(ReferenceData!$AT$4),"",ReferenceData!$AT$4),"")</f>
        <v>315994.77399999998</v>
      </c>
      <c r="AU4">
        <f ca="1">IFERROR(IF(0=LEN(ReferenceData!$AU$4),"",ReferenceData!$AU$4),"")</f>
        <v>299446.34500000003</v>
      </c>
      <c r="AV4">
        <f ca="1">IFERROR(IF(0=LEN(ReferenceData!$AV$4),"",ReferenceData!$AV$4),"")</f>
        <v>283520.96700000006</v>
      </c>
      <c r="AW4">
        <f ca="1">IFERROR(IF(0=LEN(ReferenceData!$AW$4),"",ReferenceData!$AW$4),"")</f>
        <v>251873.79300000001</v>
      </c>
      <c r="AX4">
        <f ca="1">IFERROR(IF(0=LEN(ReferenceData!$AX$4),"",ReferenceData!$AX$4),"")</f>
        <v>217347.49300000002</v>
      </c>
      <c r="AY4">
        <f ca="1">IFERROR(IF(0=LEN(ReferenceData!$AY$4),"",ReferenceData!$AY$4),"")</f>
        <v>170289.94099999999</v>
      </c>
      <c r="AZ4">
        <f ca="1">IFERROR(IF(0=LEN(ReferenceData!$AZ$4),"",ReferenceData!$AZ$4),"")</f>
        <v>139856.361</v>
      </c>
      <c r="BA4">
        <f ca="1">IFERROR(IF(0=LEN(ReferenceData!$BA$4),"",ReferenceData!$BA$4),"")</f>
        <v>129396.39299999998</v>
      </c>
      <c r="BB4">
        <f ca="1">IFERROR(IF(0=LEN(ReferenceData!$BB$4),"",ReferenceData!$BB$4),"")</f>
        <v>129739.98199999999</v>
      </c>
      <c r="BC4">
        <f ca="1">IFERROR(IF(0=LEN(ReferenceData!$BC$4),"",ReferenceData!$BC$4),"")</f>
        <v>121398.515</v>
      </c>
      <c r="BD4">
        <f ca="1">IFERROR(IF(0=LEN(ReferenceData!$BD$4),"",ReferenceData!$BD$4),"")</f>
        <v>115019.11400000002</v>
      </c>
      <c r="BE4">
        <f ca="1">IFERROR(IF(0=LEN(ReferenceData!$BE$4),"",ReferenceData!$BE$4),"")</f>
        <v>100095.80700000002</v>
      </c>
      <c r="BF4">
        <f ca="1">IFERROR(IF(0=LEN(ReferenceData!$BF$4),"",ReferenceData!$BF$4),"")</f>
        <v>100063.98199999999</v>
      </c>
      <c r="BG4">
        <f ca="1">IFERROR(IF(0=LEN(ReferenceData!$BG$4),"",ReferenceData!$BG$4),"")</f>
        <v>84303.746000000014</v>
      </c>
      <c r="BH4">
        <f ca="1">IFERROR(IF(0=LEN(ReferenceData!$BH$4),"",ReferenceData!$BH$4),"")</f>
        <v>54546.413</v>
      </c>
      <c r="BI4">
        <f ca="1">IFERROR(IF(0=LEN(ReferenceData!$BI$4),"",ReferenceData!$BI$4),"")</f>
        <v>44940.6</v>
      </c>
      <c r="BJ4">
        <f ca="1">IFERROR(IF(0=LEN(ReferenceData!$BJ$4),"",ReferenceData!$BJ$4),"")</f>
        <v>43872.31</v>
      </c>
      <c r="BK4">
        <f ca="1">IFERROR(IF(0=LEN(ReferenceData!$BK$4),"",ReferenceData!$BK$4),"")</f>
        <v>44375.441999999995</v>
      </c>
      <c r="BL4">
        <f ca="1">IFERROR(IF(0=LEN(ReferenceData!$BL$4),"",ReferenceData!$BL$4),"")</f>
        <v>45846.405999999995</v>
      </c>
      <c r="BM4">
        <f ca="1">IFERROR(IF(0=LEN(ReferenceData!$BM$4),"",ReferenceData!$BM$4),"")</f>
        <v>8094.4360000000006</v>
      </c>
    </row>
    <row r="5" spans="1:65" x14ac:dyDescent="0.25">
      <c r="A5" t="str">
        <f>IFERROR(IF(0=LEN(ReferenceData!$A$5),"",ReferenceData!$A$5),"")</f>
        <v xml:space="preserve">                Bank of America Corp</v>
      </c>
      <c r="B5" t="str">
        <f>IFERROR(IF(0=LEN(ReferenceData!$B$5),"",ReferenceData!$B$5),"")</f>
        <v>BAC US Equity</v>
      </c>
      <c r="C5" t="str">
        <f>IFERROR(IF(0=LEN(ReferenceData!$C$5),"",ReferenceData!$C$5),"")</f>
        <v>FC470</v>
      </c>
      <c r="D5" t="str">
        <f>IFERROR(IF(0=LEN(ReferenceData!$D$5),"",ReferenceData!$D$5),"")</f>
        <v>FDIC_SECS_HELD_TO_MTY_BOOK_VAL</v>
      </c>
      <c r="E5" t="str">
        <f>IFERROR(IF(0=LEN(ReferenceData!$E$5),"",ReferenceData!$E$5),"")</f>
        <v>Dynamic</v>
      </c>
      <c r="F5">
        <f ca="1">IFERROR(IF(0=LEN(ReferenceData!$F$5),"",ReferenceData!$F$5),"")</f>
        <v>558713</v>
      </c>
      <c r="G5">
        <f ca="1">IFERROR(IF(0=LEN(ReferenceData!$G$5),"",ReferenceData!$G$5),"")</f>
        <v>567589</v>
      </c>
      <c r="H5">
        <f ca="1">IFERROR(IF(0=LEN(ReferenceData!$H$5),"",ReferenceData!$H$5),"")</f>
        <v>577402</v>
      </c>
      <c r="I5">
        <f ca="1">IFERROR(IF(0=LEN(ReferenceData!$I$5),"",ReferenceData!$I$5),"")</f>
        <v>586899</v>
      </c>
      <c r="J5">
        <f ca="1">IFERROR(IF(0=LEN(ReferenceData!$J$5),"",ReferenceData!$J$5),"")</f>
        <v>594591</v>
      </c>
      <c r="K5">
        <f ca="1">IFERROR(IF(0=LEN(ReferenceData!$K$5),"",ReferenceData!$K$5),"")</f>
        <v>603365</v>
      </c>
      <c r="L5">
        <f ca="1">IFERROR(IF(0=LEN(ReferenceData!$L$5),"",ReferenceData!$L$5),"")</f>
        <v>614149</v>
      </c>
      <c r="M5">
        <f ca="1">IFERROR(IF(0=LEN(ReferenceData!$M$5),"",ReferenceData!$M$5),"")</f>
        <v>624528</v>
      </c>
      <c r="N5">
        <f ca="1">IFERROR(IF(0=LEN(ReferenceData!$N$5),"",ReferenceData!$N$5),"")</f>
        <v>632863</v>
      </c>
      <c r="O5">
        <f ca="1">IFERROR(IF(0=LEN(ReferenceData!$O$5),"",ReferenceData!$O$5),"")</f>
        <v>643743</v>
      </c>
      <c r="P5">
        <f ca="1">IFERROR(IF(0=LEN(ReferenceData!$P$5),"",ReferenceData!$P$5),"")</f>
        <v>658284</v>
      </c>
      <c r="Q5">
        <f ca="1">IFERROR(IF(0=LEN(ReferenceData!$Q$5),"",ReferenceData!$Q$5),"")</f>
        <v>672218</v>
      </c>
      <c r="R5">
        <f ca="1">IFERROR(IF(0=LEN(ReferenceData!$R$5),"",ReferenceData!$R$5),"")</f>
        <v>674591</v>
      </c>
      <c r="S5">
        <f ca="1">IFERROR(IF(0=LEN(ReferenceData!$S$5),"",ReferenceData!$S$5),"")</f>
        <v>683274</v>
      </c>
      <c r="T5">
        <f ca="1">IFERROR(IF(0=LEN(ReferenceData!$T$5),"",ReferenceData!$T$5),"")</f>
        <v>651434</v>
      </c>
      <c r="U5">
        <f ca="1">IFERROR(IF(0=LEN(ReferenceData!$U$5),"",ReferenceData!$U$5),"")</f>
        <v>576031</v>
      </c>
      <c r="V5">
        <f ca="1">IFERROR(IF(0=LEN(ReferenceData!$V$5),"",ReferenceData!$V$5),"")</f>
        <v>438279</v>
      </c>
      <c r="W5">
        <f ca="1">IFERROR(IF(0=LEN(ReferenceData!$W$5),"",ReferenceData!$W$5),"")</f>
        <v>338419</v>
      </c>
      <c r="X5">
        <f ca="1">IFERROR(IF(0=LEN(ReferenceData!$X$5),"",ReferenceData!$X$5),"")</f>
        <v>268967</v>
      </c>
      <c r="Y5">
        <f ca="1">IFERROR(IF(0=LEN(ReferenceData!$Y$5),"",ReferenceData!$Y$5),"")</f>
        <v>254764</v>
      </c>
      <c r="Z5">
        <f ca="1">IFERROR(IF(0=LEN(ReferenceData!$Z$5),"",ReferenceData!$Z$5),"")</f>
        <v>215730</v>
      </c>
      <c r="AA5">
        <f ca="1">IFERROR(IF(0=LEN(ReferenceData!$AA$5),"",ReferenceData!$AA$5),"")</f>
        <v>190252</v>
      </c>
      <c r="AB5">
        <f ca="1">IFERROR(IF(0=LEN(ReferenceData!$AB$5),"",ReferenceData!$AB$5),"")</f>
        <v>199981</v>
      </c>
      <c r="AC5">
        <f ca="1">IFERROR(IF(0=LEN(ReferenceData!$AC$5),"",ReferenceData!$AC$5),"")</f>
        <v>198718</v>
      </c>
      <c r="AD5">
        <f ca="1">IFERROR(IF(0=LEN(ReferenceData!$AD$5),"",ReferenceData!$AD$5),"")</f>
        <v>203652</v>
      </c>
      <c r="AE5">
        <f ca="1">IFERROR(IF(0=LEN(ReferenceData!$AE$5),"",ReferenceData!$AE$5),"")</f>
        <v>194472</v>
      </c>
      <c r="AF5">
        <f ca="1">IFERROR(IF(0=LEN(ReferenceData!$AF$5),"",ReferenceData!$AF$5),"")</f>
        <v>163013</v>
      </c>
      <c r="AG5">
        <f ca="1">IFERROR(IF(0=LEN(ReferenceData!$AG$5),"",ReferenceData!$AG$5),"")</f>
        <v>123539</v>
      </c>
      <c r="AH5">
        <f ca="1">IFERROR(IF(0=LEN(ReferenceData!$AH$5),"",ReferenceData!$AH$5),"")</f>
        <v>125013</v>
      </c>
      <c r="AI5">
        <f ca="1">IFERROR(IF(0=LEN(ReferenceData!$AI$5),"",ReferenceData!$AI$5),"")</f>
        <v>122345</v>
      </c>
      <c r="AJ5">
        <f ca="1">IFERROR(IF(0=LEN(ReferenceData!$AJ$5),"",ReferenceData!$AJ$5),"")</f>
        <v>119008</v>
      </c>
      <c r="AK5">
        <f ca="1">IFERROR(IF(0=LEN(ReferenceData!$AK$5),"",ReferenceData!$AK$5),"")</f>
        <v>116033</v>
      </c>
      <c r="AL5">
        <f ca="1">IFERROR(IF(0=LEN(ReferenceData!$AL$5),"",ReferenceData!$AL$5),"")</f>
        <v>117071</v>
      </c>
      <c r="AM5">
        <f ca="1">IFERROR(IF(0=LEN(ReferenceData!$AM$5),"",ReferenceData!$AM$5),"")</f>
        <v>112409</v>
      </c>
      <c r="AN5">
        <f ca="1">IFERROR(IF(0=LEN(ReferenceData!$AN$5),"",ReferenceData!$AN$5),"")</f>
        <v>102279</v>
      </c>
      <c r="AO5">
        <f ca="1">IFERROR(IF(0=LEN(ReferenceData!$AO$5),"",ReferenceData!$AO$5),"")</f>
        <v>97978</v>
      </c>
      <c r="AP5">
        <f ca="1">IFERROR(IF(0=LEN(ReferenceData!$AP$5),"",ReferenceData!$AP$5),"")</f>
        <v>84625</v>
      </c>
      <c r="AQ5">
        <f ca="1">IFERROR(IF(0=LEN(ReferenceData!$AQ$5),"",ReferenceData!$AQ$5),"")</f>
        <v>66573</v>
      </c>
      <c r="AR5">
        <f ca="1">IFERROR(IF(0=LEN(ReferenceData!$AR$5),"",ReferenceData!$AR$5),"")</f>
        <v>60072</v>
      </c>
      <c r="AS5">
        <f ca="1">IFERROR(IF(0=LEN(ReferenceData!$AS$5),"",ReferenceData!$AS$5),"")</f>
        <v>59815</v>
      </c>
      <c r="AT5">
        <f ca="1">IFERROR(IF(0=LEN(ReferenceData!$AT$5),"",ReferenceData!$AT$5),"")</f>
        <v>59766</v>
      </c>
      <c r="AU5">
        <f ca="1">IFERROR(IF(0=LEN(ReferenceData!$AU$5),"",ReferenceData!$AU$5),"")</f>
        <v>60175</v>
      </c>
      <c r="AV5">
        <f ca="1">IFERROR(IF(0=LEN(ReferenceData!$AV$5),"",ReferenceData!$AV$5),"")</f>
        <v>60022</v>
      </c>
      <c r="AW5">
        <f ca="1">IFERROR(IF(0=LEN(ReferenceData!$AW$5),"",ReferenceData!$AW$5),"")</f>
        <v>55120</v>
      </c>
      <c r="AX5">
        <f ca="1">IFERROR(IF(0=LEN(ReferenceData!$AX$5),"",ReferenceData!$AX$5),"")</f>
        <v>55150</v>
      </c>
      <c r="AY5">
        <f ca="1">IFERROR(IF(0=LEN(ReferenceData!$AY$5),"",ReferenceData!$AY$5),"")</f>
        <v>54649</v>
      </c>
      <c r="AZ5">
        <f ca="1">IFERROR(IF(0=LEN(ReferenceData!$AZ$5),"",ReferenceData!$AZ$5),"")</f>
        <v>54922</v>
      </c>
      <c r="BA5">
        <f ca="1">IFERROR(IF(0=LEN(ReferenceData!$BA$5),"",ReferenceData!$BA$5),"")</f>
        <v>49577</v>
      </c>
      <c r="BB5">
        <f ca="1">IFERROR(IF(0=LEN(ReferenceData!$BB$5),"",ReferenceData!$BB$5),"")</f>
        <v>49480.678</v>
      </c>
      <c r="BC5">
        <f ca="1">IFERROR(IF(0=LEN(ReferenceData!$BC$5),"",ReferenceData!$BC$5),"")</f>
        <v>39897.925999999999</v>
      </c>
      <c r="BD5">
        <f ca="1">IFERROR(IF(0=LEN(ReferenceData!$BD$5),"",ReferenceData!$BD$5),"")</f>
        <v>35167.512999999999</v>
      </c>
      <c r="BE5">
        <f ca="1">IFERROR(IF(0=LEN(ReferenceData!$BE$5),"",ReferenceData!$BE$5),"")</f>
        <v>34205.133000000002</v>
      </c>
      <c r="BF5">
        <f ca="1">IFERROR(IF(0=LEN(ReferenceData!$BF$5),"",ReferenceData!$BF$5),"")</f>
        <v>35265.406000000003</v>
      </c>
      <c r="BG5">
        <f ca="1">IFERROR(IF(0=LEN(ReferenceData!$BG$5),"",ReferenceData!$BG$5),"")</f>
        <v>26458.178</v>
      </c>
      <c r="BH5">
        <f ca="1">IFERROR(IF(0=LEN(ReferenceData!$BH$5),"",ReferenceData!$BH$5),"")</f>
        <v>180.69499999999999</v>
      </c>
      <c r="BI5">
        <f ca="1">IFERROR(IF(0=LEN(ReferenceData!$BI$5),"",ReferenceData!$BI$5),"")</f>
        <v>431.041</v>
      </c>
      <c r="BJ5">
        <f ca="1">IFERROR(IF(0=LEN(ReferenceData!$BJ$5),"",ReferenceData!$BJ$5),"")</f>
        <v>426.93599999999998</v>
      </c>
      <c r="BK5">
        <f ca="1">IFERROR(IF(0=LEN(ReferenceData!$BK$5),"",ReferenceData!$BK$5),"")</f>
        <v>437.851</v>
      </c>
      <c r="BL5">
        <f ca="1">IFERROR(IF(0=LEN(ReferenceData!$BL$5),"",ReferenceData!$BL$5),"")</f>
        <v>435.185</v>
      </c>
      <c r="BM5" t="str">
        <f ca="1">IFERROR(IF(0=LEN(ReferenceData!$BM$5),"",ReferenceData!$BM$5),"")</f>
        <v/>
      </c>
    </row>
    <row r="6" spans="1:65" x14ac:dyDescent="0.25">
      <c r="A6" t="str">
        <f>IFERROR(IF(0=LEN(ReferenceData!$A$6),"",ReferenceData!$A$6),"")</f>
        <v xml:space="preserve">                Citigroup Inc</v>
      </c>
      <c r="B6" t="str">
        <f>IFERROR(IF(0=LEN(ReferenceData!$B$6),"",ReferenceData!$B$6),"")</f>
        <v>C US Equity</v>
      </c>
      <c r="C6" t="str">
        <f>IFERROR(IF(0=LEN(ReferenceData!$C$6),"",ReferenceData!$C$6),"")</f>
        <v>FC470</v>
      </c>
      <c r="D6" t="str">
        <f>IFERROR(IF(0=LEN(ReferenceData!$D$6),"",ReferenceData!$D$6),"")</f>
        <v>FDIC_SECS_HELD_TO_MTY_BOOK_VAL</v>
      </c>
      <c r="E6" t="str">
        <f>IFERROR(IF(0=LEN(ReferenceData!$E$6),"",ReferenceData!$E$6),"")</f>
        <v>Dynamic</v>
      </c>
      <c r="F6">
        <f ca="1">IFERROR(IF(0=LEN(ReferenceData!$F$6),"",ReferenceData!$F$6),"")</f>
        <v>242519</v>
      </c>
      <c r="G6">
        <f ca="1">IFERROR(IF(0=LEN(ReferenceData!$G$6),"",ReferenceData!$G$6),"")</f>
        <v>248416</v>
      </c>
      <c r="H6">
        <f ca="1">IFERROR(IF(0=LEN(ReferenceData!$H$6),"",ReferenceData!$H$6),"")</f>
        <v>251225</v>
      </c>
      <c r="I6">
        <f ca="1">IFERROR(IF(0=LEN(ReferenceData!$I$6),"",ReferenceData!$I$6),"")</f>
        <v>252564</v>
      </c>
      <c r="J6">
        <f ca="1">IFERROR(IF(0=LEN(ReferenceData!$J$6),"",ReferenceData!$J$6),"")</f>
        <v>254342</v>
      </c>
      <c r="K6">
        <f ca="1">IFERROR(IF(0=LEN(ReferenceData!$K$6),"",ReferenceData!$K$6),"")</f>
        <v>259551</v>
      </c>
      <c r="L6">
        <f ca="1">IFERROR(IF(0=LEN(ReferenceData!$L$6),"",ReferenceData!$L$6),"")</f>
        <v>262165</v>
      </c>
      <c r="M6">
        <f ca="1">IFERROR(IF(0=LEN(ReferenceData!$M$6),"",ReferenceData!$M$6),"")</f>
        <v>264446</v>
      </c>
      <c r="N6">
        <f ca="1">IFERROR(IF(0=LEN(ReferenceData!$N$6),"",ReferenceData!$N$6),"")</f>
        <v>268983</v>
      </c>
      <c r="O6">
        <f ca="1">IFERROR(IF(0=LEN(ReferenceData!$O$6),"",ReferenceData!$O$6),"")</f>
        <v>267979</v>
      </c>
      <c r="P6">
        <f ca="1">IFERROR(IF(0=LEN(ReferenceData!$P$6),"",ReferenceData!$P$6),"")</f>
        <v>267697</v>
      </c>
      <c r="Q6">
        <f ca="1">IFERROR(IF(0=LEN(ReferenceData!$Q$6),"",ReferenceData!$Q$6),"")</f>
        <v>242632</v>
      </c>
      <c r="R6">
        <f ca="1">IFERROR(IF(0=LEN(ReferenceData!$R$6),"",ReferenceData!$R$6),"")</f>
        <v>217050</v>
      </c>
      <c r="S6">
        <f ca="1">IFERROR(IF(0=LEN(ReferenceData!$S$6),"",ReferenceData!$S$6),"")</f>
        <v>198129</v>
      </c>
      <c r="T6">
        <f ca="1">IFERROR(IF(0=LEN(ReferenceData!$T$6),"",ReferenceData!$T$6),"")</f>
        <v>176825</v>
      </c>
      <c r="U6">
        <f ca="1">IFERROR(IF(0=LEN(ReferenceData!$U$6),"",ReferenceData!$U$6),"")</f>
        <v>161820</v>
      </c>
      <c r="V6">
        <f ca="1">IFERROR(IF(0=LEN(ReferenceData!$V$6),"",ReferenceData!$V$6),"")</f>
        <v>105029</v>
      </c>
      <c r="W6">
        <f ca="1">IFERROR(IF(0=LEN(ReferenceData!$W$6),"",ReferenceData!$W$6),"")</f>
        <v>96163</v>
      </c>
      <c r="X6">
        <f ca="1">IFERROR(IF(0=LEN(ReferenceData!$X$6),"",ReferenceData!$X$6),"")</f>
        <v>83439</v>
      </c>
      <c r="Y6">
        <f ca="1">IFERROR(IF(0=LEN(ReferenceData!$Y$6),"",ReferenceData!$Y$6),"")</f>
        <v>82391</v>
      </c>
      <c r="Z6">
        <f ca="1">IFERROR(IF(0=LEN(ReferenceData!$Z$6),"",ReferenceData!$Z$6),"")</f>
        <v>80775</v>
      </c>
      <c r="AA6">
        <f ca="1">IFERROR(IF(0=LEN(ReferenceData!$AA$6),"",ReferenceData!$AA$6),"")</f>
        <v>75841</v>
      </c>
      <c r="AB6">
        <f ca="1">IFERROR(IF(0=LEN(ReferenceData!$AB$6),"",ReferenceData!$AB$6),"")</f>
        <v>68693</v>
      </c>
      <c r="AC6">
        <f ca="1">IFERROR(IF(0=LEN(ReferenceData!$AC$6),"",ReferenceData!$AC$6),"")</f>
        <v>66842</v>
      </c>
      <c r="AD6">
        <f ca="1">IFERROR(IF(0=LEN(ReferenceData!$AD$6),"",ReferenceData!$AD$6),"")</f>
        <v>63357</v>
      </c>
      <c r="AE6">
        <f ca="1">IFERROR(IF(0=LEN(ReferenceData!$AE$6),"",ReferenceData!$AE$6),"")</f>
        <v>53249</v>
      </c>
      <c r="AF6">
        <f ca="1">IFERROR(IF(0=LEN(ReferenceData!$AF$6),"",ReferenceData!$AF$6),"")</f>
        <v>52897</v>
      </c>
      <c r="AG6">
        <f ca="1">IFERROR(IF(0=LEN(ReferenceData!$AG$6),"",ReferenceData!$AG$6),"")</f>
        <v>52492</v>
      </c>
      <c r="AH6">
        <f ca="1">IFERROR(IF(0=LEN(ReferenceData!$AH$6),"",ReferenceData!$AH$6),"")</f>
        <v>53320</v>
      </c>
      <c r="AI6">
        <f ca="1">IFERROR(IF(0=LEN(ReferenceData!$AI$6),"",ReferenceData!$AI$6),"")</f>
        <v>51527</v>
      </c>
      <c r="AJ6">
        <f ca="1">IFERROR(IF(0=LEN(ReferenceData!$AJ$6),"",ReferenceData!$AJ$6),"")</f>
        <v>50175</v>
      </c>
      <c r="AK6">
        <f ca="1">IFERROR(IF(0=LEN(ReferenceData!$AK$6),"",ReferenceData!$AK$6),"")</f>
        <v>47942</v>
      </c>
      <c r="AL6">
        <f ca="1">IFERROR(IF(0=LEN(ReferenceData!$AL$6),"",ReferenceData!$AL$6),"")</f>
        <v>45667</v>
      </c>
      <c r="AM6">
        <f ca="1">IFERROR(IF(0=LEN(ReferenceData!$AM$6),"",ReferenceData!$AM$6),"")</f>
        <v>38588</v>
      </c>
      <c r="AN6">
        <f ca="1">IFERROR(IF(0=LEN(ReferenceData!$AN$6),"",ReferenceData!$AN$6),"")</f>
        <v>35903</v>
      </c>
      <c r="AO6">
        <f ca="1">IFERROR(IF(0=LEN(ReferenceData!$AO$6),"",ReferenceData!$AO$6),"")</f>
        <v>36890</v>
      </c>
      <c r="AP6">
        <f ca="1">IFERROR(IF(0=LEN(ReferenceData!$AP$6),"",ReferenceData!$AP$6),"")</f>
        <v>36215</v>
      </c>
      <c r="AQ6">
        <f ca="1">IFERROR(IF(0=LEN(ReferenceData!$AQ$6),"",ReferenceData!$AQ$6),"")</f>
        <v>33940</v>
      </c>
      <c r="AR6">
        <f ca="1">IFERROR(IF(0=LEN(ReferenceData!$AR$6),"",ReferenceData!$AR$6),"")</f>
        <v>30166</v>
      </c>
      <c r="AS6">
        <f ca="1">IFERROR(IF(0=LEN(ReferenceData!$AS$6),"",ReferenceData!$AS$6),"")</f>
        <v>23254</v>
      </c>
      <c r="AT6">
        <f ca="1">IFERROR(IF(0=LEN(ReferenceData!$AT$6),"",ReferenceData!$AT$6),"")</f>
        <v>23921</v>
      </c>
      <c r="AU6">
        <f ca="1">IFERROR(IF(0=LEN(ReferenceData!$AU$6),"",ReferenceData!$AU$6),"")</f>
        <v>24038</v>
      </c>
      <c r="AV6">
        <f ca="1">IFERROR(IF(0=LEN(ReferenceData!$AV$6),"",ReferenceData!$AV$6),"")</f>
        <v>22330</v>
      </c>
      <c r="AW6">
        <f ca="1">IFERROR(IF(0=LEN(ReferenceData!$AW$6),"",ReferenceData!$AW$6),"")</f>
        <v>10600</v>
      </c>
      <c r="AX6">
        <f ca="1">IFERROR(IF(0=LEN(ReferenceData!$AX$6),"",ReferenceData!$AX$6),"")</f>
        <v>10599</v>
      </c>
      <c r="AY6">
        <f ca="1">IFERROR(IF(0=LEN(ReferenceData!$AY$6),"",ReferenceData!$AY$6),"")</f>
        <v>10808</v>
      </c>
      <c r="AZ6">
        <f ca="1">IFERROR(IF(0=LEN(ReferenceData!$AZ$6),"",ReferenceData!$AZ$6),"")</f>
        <v>9602</v>
      </c>
      <c r="BA6">
        <f ca="1">IFERROR(IF(0=LEN(ReferenceData!$BA$6),"",ReferenceData!$BA$6),"")</f>
        <v>10056</v>
      </c>
      <c r="BB6">
        <f ca="1">IFERROR(IF(0=LEN(ReferenceData!$BB$6),"",ReferenceData!$BB$6),"")</f>
        <v>10130</v>
      </c>
      <c r="BC6">
        <f ca="1">IFERROR(IF(0=LEN(ReferenceData!$BC$6),"",ReferenceData!$BC$6),"")</f>
        <v>10943</v>
      </c>
      <c r="BD6">
        <f ca="1">IFERROR(IF(0=LEN(ReferenceData!$BD$6),"",ReferenceData!$BD$6),"")</f>
        <v>11349</v>
      </c>
      <c r="BE6">
        <f ca="1">IFERROR(IF(0=LEN(ReferenceData!$BE$6),"",ReferenceData!$BE$6),"")</f>
        <v>10126</v>
      </c>
      <c r="BF6">
        <f ca="1">IFERROR(IF(0=LEN(ReferenceData!$BF$6),"",ReferenceData!$BF$6),"")</f>
        <v>11483</v>
      </c>
      <c r="BG6">
        <f ca="1">IFERROR(IF(0=LEN(ReferenceData!$BG$6),"",ReferenceData!$BG$6),"")</f>
        <v>12866</v>
      </c>
      <c r="BH6">
        <f ca="1">IFERROR(IF(0=LEN(ReferenceData!$BH$6),"",ReferenceData!$BH$6),"")</f>
        <v>14910</v>
      </c>
      <c r="BI6">
        <f ca="1">IFERROR(IF(0=LEN(ReferenceData!$BI$6),"",ReferenceData!$BI$6),"")</f>
        <v>15484</v>
      </c>
      <c r="BJ6">
        <f ca="1">IFERROR(IF(0=LEN(ReferenceData!$BJ$6),"",ReferenceData!$BJ$6),"")</f>
        <v>29107</v>
      </c>
      <c r="BK6">
        <f ca="1">IFERROR(IF(0=LEN(ReferenceData!$BK$6),"",ReferenceData!$BK$6),"")</f>
        <v>30107</v>
      </c>
      <c r="BL6">
        <f ca="1">IFERROR(IF(0=LEN(ReferenceData!$BL$6),"",ReferenceData!$BL$6),"")</f>
        <v>31283</v>
      </c>
      <c r="BM6" t="str">
        <f ca="1">IFERROR(IF(0=LEN(ReferenceData!$BM$6),"",ReferenceData!$BM$6),"")</f>
        <v/>
      </c>
    </row>
    <row r="7" spans="1:65" x14ac:dyDescent="0.25">
      <c r="A7" t="str">
        <f>IFERROR(IF(0=LEN(ReferenceData!$A$7),"",ReferenceData!$A$7),"")</f>
        <v xml:space="preserve">                Citizens Financial Group Inc</v>
      </c>
      <c r="B7" t="str">
        <f>IFERROR(IF(0=LEN(ReferenceData!$B$7),"",ReferenceData!$B$7),"")</f>
        <v>CFG US Equity</v>
      </c>
      <c r="C7" t="str">
        <f>IFERROR(IF(0=LEN(ReferenceData!$C$7),"",ReferenceData!$C$7),"")</f>
        <v>FC470</v>
      </c>
      <c r="D7" t="str">
        <f>IFERROR(IF(0=LEN(ReferenceData!$D$7),"",ReferenceData!$D$7),"")</f>
        <v>FDIC_SECS_HELD_TO_MTY_BOOK_VAL</v>
      </c>
      <c r="E7" t="str">
        <f>IFERROR(IF(0=LEN(ReferenceData!$E$7),"",ReferenceData!$E$7),"")</f>
        <v>Dynamic</v>
      </c>
      <c r="F7">
        <f ca="1">IFERROR(IF(0=LEN(ReferenceData!$F$7),"",ReferenceData!$F$7),"")</f>
        <v>8598.5079999999998</v>
      </c>
      <c r="G7">
        <f ca="1">IFERROR(IF(0=LEN(ReferenceData!$G$7),"",ReferenceData!$G$7),"")</f>
        <v>8737.6039999999994</v>
      </c>
      <c r="H7">
        <f ca="1">IFERROR(IF(0=LEN(ReferenceData!$H$7),"",ReferenceData!$H$7),"")</f>
        <v>8894.759</v>
      </c>
      <c r="I7">
        <f ca="1">IFERROR(IF(0=LEN(ReferenceData!$I$7),"",ReferenceData!$I$7),"")</f>
        <v>9054.0640000000003</v>
      </c>
      <c r="J7">
        <f ca="1">IFERROR(IF(0=LEN(ReferenceData!$J$7),"",ReferenceData!$J$7),"")</f>
        <v>9184.3119999999999</v>
      </c>
      <c r="K7">
        <f ca="1">IFERROR(IF(0=LEN(ReferenceData!$K$7),"",ReferenceData!$K$7),"")</f>
        <v>9319.51</v>
      </c>
      <c r="L7">
        <f ca="1">IFERROR(IF(0=LEN(ReferenceData!$L$7),"",ReferenceData!$L$7),"")</f>
        <v>9520.0259999999998</v>
      </c>
      <c r="M7">
        <f ca="1">IFERROR(IF(0=LEN(ReferenceData!$M$7),"",ReferenceData!$M$7),"")</f>
        <v>9676.8819999999996</v>
      </c>
      <c r="N7">
        <f ca="1">IFERROR(IF(0=LEN(ReferenceData!$N$7),"",ReferenceData!$N$7),"")</f>
        <v>9834.49</v>
      </c>
      <c r="O7">
        <f ca="1">IFERROR(IF(0=LEN(ReferenceData!$O$7),"",ReferenceData!$O$7),"")</f>
        <v>10070.532999999999</v>
      </c>
      <c r="P7">
        <f ca="1">IFERROR(IF(0=LEN(ReferenceData!$P$7),"",ReferenceData!$P$7),"")</f>
        <v>9567.277</v>
      </c>
      <c r="Q7">
        <f ca="1">IFERROR(IF(0=LEN(ReferenceData!$Q$7),"",ReferenceData!$Q$7),"")</f>
        <v>2055.547</v>
      </c>
      <c r="R7">
        <f ca="1">IFERROR(IF(0=LEN(ReferenceData!$R$7),"",ReferenceData!$R$7),"")</f>
        <v>2242.3009999999999</v>
      </c>
      <c r="S7">
        <f ca="1">IFERROR(IF(0=LEN(ReferenceData!$S$7),"",ReferenceData!$S$7),"")</f>
        <v>2491.9160000000002</v>
      </c>
      <c r="T7">
        <f ca="1">IFERROR(IF(0=LEN(ReferenceData!$T$7),"",ReferenceData!$T$7),"")</f>
        <v>2710.9969999999998</v>
      </c>
      <c r="U7">
        <f ca="1">IFERROR(IF(0=LEN(ReferenceData!$U$7),"",ReferenceData!$U$7),"")</f>
        <v>2994.7109999999998</v>
      </c>
      <c r="V7">
        <f ca="1">IFERROR(IF(0=LEN(ReferenceData!$V$7),"",ReferenceData!$V$7),"")</f>
        <v>3234.5509999999999</v>
      </c>
      <c r="W7">
        <f ca="1">IFERROR(IF(0=LEN(ReferenceData!$W$7),"",ReferenceData!$W$7),"")</f>
        <v>2577.5329999999999</v>
      </c>
      <c r="X7">
        <f ca="1">IFERROR(IF(0=LEN(ReferenceData!$X$7),"",ReferenceData!$X$7),"")</f>
        <v>2855.502</v>
      </c>
      <c r="Y7">
        <f ca="1">IFERROR(IF(0=LEN(ReferenceData!$Y$7),"",ReferenceData!$Y$7),"")</f>
        <v>3071.431</v>
      </c>
      <c r="Z7">
        <f ca="1">IFERROR(IF(0=LEN(ReferenceData!$Z$7),"",ReferenceData!$Z$7),"")</f>
        <v>3201.7179999999998</v>
      </c>
      <c r="AA7">
        <f ca="1">IFERROR(IF(0=LEN(ReferenceData!$AA$7),"",ReferenceData!$AA$7),"")</f>
        <v>3319.1959999999999</v>
      </c>
      <c r="AB7">
        <f ca="1">IFERROR(IF(0=LEN(ReferenceData!$AB$7),"",ReferenceData!$AB$7),"")</f>
        <v>3446.67</v>
      </c>
      <c r="AC7">
        <f ca="1">IFERROR(IF(0=LEN(ReferenceData!$AC$7),"",ReferenceData!$AC$7),"")</f>
        <v>3345.471</v>
      </c>
      <c r="AD7">
        <f ca="1">IFERROR(IF(0=LEN(ReferenceData!$AD$7),"",ReferenceData!$AD$7),"")</f>
        <v>4164.9440000000004</v>
      </c>
      <c r="AE7">
        <f ca="1">IFERROR(IF(0=LEN(ReferenceData!$AE$7),"",ReferenceData!$AE$7),"")</f>
        <v>4283.9530000000004</v>
      </c>
      <c r="AF7">
        <f ca="1">IFERROR(IF(0=LEN(ReferenceData!$AF$7),"",ReferenceData!$AF$7),"")</f>
        <v>4416.9489999999996</v>
      </c>
      <c r="AG7">
        <f ca="1">IFERROR(IF(0=LEN(ReferenceData!$AG$7),"",ReferenceData!$AG$7),"")</f>
        <v>4555.42</v>
      </c>
      <c r="AH7">
        <f ca="1">IFERROR(IF(0=LEN(ReferenceData!$AH$7),"",ReferenceData!$AH$7),"")</f>
        <v>4684.991</v>
      </c>
      <c r="AI7">
        <f ca="1">IFERROR(IF(0=LEN(ReferenceData!$AI$7),"",ReferenceData!$AI$7),"")</f>
        <v>4822.9790000000003</v>
      </c>
      <c r="AJ7">
        <f ca="1">IFERROR(IF(0=LEN(ReferenceData!$AJ$7),"",ReferenceData!$AJ$7),"")</f>
        <v>4966.8389999999999</v>
      </c>
      <c r="AK7">
        <f ca="1">IFERROR(IF(0=LEN(ReferenceData!$AK$7),"",ReferenceData!$AK$7),"")</f>
        <v>4991.6279999999997</v>
      </c>
      <c r="AL7">
        <f ca="1">IFERROR(IF(0=LEN(ReferenceData!$AL$7),"",ReferenceData!$AL$7),"")</f>
        <v>5070.8689999999997</v>
      </c>
      <c r="AM7">
        <f ca="1">IFERROR(IF(0=LEN(ReferenceData!$AM$7),"",ReferenceData!$AM$7),"")</f>
        <v>5288.84</v>
      </c>
      <c r="AN7">
        <f ca="1">IFERROR(IF(0=LEN(ReferenceData!$AN$7),"",ReferenceData!$AN$7),"")</f>
        <v>4972.8379999999997</v>
      </c>
      <c r="AO7">
        <f ca="1">IFERROR(IF(0=LEN(ReferenceData!$AO$7),"",ReferenceData!$AO$7),"")</f>
        <v>5128.9930000000004</v>
      </c>
      <c r="AP7">
        <f ca="1">IFERROR(IF(0=LEN(ReferenceData!$AP$7),"",ReferenceData!$AP$7),"")</f>
        <v>5257.9260000000004</v>
      </c>
      <c r="AQ7">
        <f ca="1">IFERROR(IF(0=LEN(ReferenceData!$AQ$7),"",ReferenceData!$AQ$7),"")</f>
        <v>5284.8059999999996</v>
      </c>
      <c r="AR7">
        <f ca="1">IFERROR(IF(0=LEN(ReferenceData!$AR$7),"",ReferenceData!$AR$7),"")</f>
        <v>5567.3630000000003</v>
      </c>
      <c r="AS7">
        <f ca="1">IFERROR(IF(0=LEN(ReferenceData!$AS$7),"",ReferenceData!$AS$7),"")</f>
        <v>5177.6180000000004</v>
      </c>
      <c r="AT7">
        <f ca="1">IFERROR(IF(0=LEN(ReferenceData!$AT$7),"",ReferenceData!$AT$7),"")</f>
        <v>5148.12</v>
      </c>
      <c r="AU7">
        <f ca="1">IFERROR(IF(0=LEN(ReferenceData!$AU$7),"",ReferenceData!$AU$7),"")</f>
        <v>5289.0339999999997</v>
      </c>
      <c r="AV7">
        <f ca="1">IFERROR(IF(0=LEN(ReferenceData!$AV$7),"",ReferenceData!$AV$7),"")</f>
        <v>5381.5309999999999</v>
      </c>
      <c r="AW7">
        <f ca="1">IFERROR(IF(0=LEN(ReferenceData!$AW$7),"",ReferenceData!$AW$7),"")</f>
        <v>5456.8109999999997</v>
      </c>
      <c r="AX7">
        <f ca="1">IFERROR(IF(0=LEN(ReferenceData!$AX$7),"",ReferenceData!$AX$7),"")</f>
        <v>4315.4070000000002</v>
      </c>
      <c r="AY7">
        <f ca="1">IFERROR(IF(0=LEN(ReferenceData!$AY$7),"",ReferenceData!$AY$7),"")</f>
        <v>0</v>
      </c>
      <c r="AZ7">
        <f ca="1">IFERROR(IF(0=LEN(ReferenceData!$AZ$7),"",ReferenceData!$AZ$7),"")</f>
        <v>0</v>
      </c>
      <c r="BA7">
        <f ca="1">IFERROR(IF(0=LEN(ReferenceData!$BA$7),"",ReferenceData!$BA$7),"")</f>
        <v>0</v>
      </c>
      <c r="BB7">
        <f ca="1">IFERROR(IF(0=LEN(ReferenceData!$BB$7),"",ReferenceData!$BB$7),"")</f>
        <v>0</v>
      </c>
      <c r="BC7">
        <f ca="1">IFERROR(IF(0=LEN(ReferenceData!$BC$7),"",ReferenceData!$BC$7),"")</f>
        <v>0</v>
      </c>
      <c r="BD7">
        <f ca="1">IFERROR(IF(0=LEN(ReferenceData!$BD$7),"",ReferenceData!$BD$7),"")</f>
        <v>0</v>
      </c>
      <c r="BE7">
        <f ca="1">IFERROR(IF(0=LEN(ReferenceData!$BE$7),"",ReferenceData!$BE$7),"")</f>
        <v>0</v>
      </c>
      <c r="BF7">
        <f ca="1">IFERROR(IF(0=LEN(ReferenceData!$BF$7),"",ReferenceData!$BF$7),"")</f>
        <v>0</v>
      </c>
      <c r="BG7">
        <f ca="1">IFERROR(IF(0=LEN(ReferenceData!$BG$7),"",ReferenceData!$BG$7),"")</f>
        <v>0</v>
      </c>
      <c r="BH7">
        <f ca="1">IFERROR(IF(0=LEN(ReferenceData!$BH$7),"",ReferenceData!$BH$7),"")</f>
        <v>0</v>
      </c>
      <c r="BI7">
        <f ca="1">IFERROR(IF(0=LEN(ReferenceData!$BI$7),"",ReferenceData!$BI$7),"")</f>
        <v>0</v>
      </c>
      <c r="BJ7">
        <f ca="1">IFERROR(IF(0=LEN(ReferenceData!$BJ$7),"",ReferenceData!$BJ$7),"")</f>
        <v>0</v>
      </c>
      <c r="BK7">
        <f ca="1">IFERROR(IF(0=LEN(ReferenceData!$BK$7),"",ReferenceData!$BK$7),"")</f>
        <v>0</v>
      </c>
      <c r="BL7">
        <f ca="1">IFERROR(IF(0=LEN(ReferenceData!$BL$7),"",ReferenceData!$BL$7),"")</f>
        <v>0</v>
      </c>
      <c r="BM7" t="str">
        <f ca="1">IFERROR(IF(0=LEN(ReferenceData!$BM$7),"",ReferenceData!$BM$7),"")</f>
        <v/>
      </c>
    </row>
    <row r="8" spans="1:65" x14ac:dyDescent="0.25">
      <c r="A8" t="str">
        <f>IFERROR(IF(0=LEN(ReferenceData!$A$8),"",ReferenceData!$A$8),"")</f>
        <v xml:space="preserve">                Capital One Financial Corp</v>
      </c>
      <c r="B8" t="str">
        <f>IFERROR(IF(0=LEN(ReferenceData!$B$8),"",ReferenceData!$B$8),"")</f>
        <v>COF US Equity</v>
      </c>
      <c r="C8" t="str">
        <f>IFERROR(IF(0=LEN(ReferenceData!$C$8),"",ReferenceData!$C$8),"")</f>
        <v>FC470</v>
      </c>
      <c r="D8" t="str">
        <f>IFERROR(IF(0=LEN(ReferenceData!$D$8),"",ReferenceData!$D$8),"")</f>
        <v>FDIC_SECS_HELD_TO_MTY_BOOK_VAL</v>
      </c>
      <c r="E8" t="str">
        <f>IFERROR(IF(0=LEN(ReferenceData!$E$8),"",ReferenceData!$E$8),"")</f>
        <v>Dynamic</v>
      </c>
      <c r="F8">
        <f ca="1">IFERROR(IF(0=LEN(ReferenceData!$F$8),"",ReferenceData!$F$8),"")</f>
        <v>0</v>
      </c>
      <c r="G8">
        <f ca="1">IFERROR(IF(0=LEN(ReferenceData!$G$8),"",ReferenceData!$G$8),"")</f>
        <v>0</v>
      </c>
      <c r="H8">
        <f ca="1">IFERROR(IF(0=LEN(ReferenceData!$H$8),"",ReferenceData!$H$8),"")</f>
        <v>0</v>
      </c>
      <c r="I8">
        <f ca="1">IFERROR(IF(0=LEN(ReferenceData!$I$8),"",ReferenceData!$I$8),"")</f>
        <v>0</v>
      </c>
      <c r="J8">
        <f ca="1">IFERROR(IF(0=LEN(ReferenceData!$J$8),"",ReferenceData!$J$8),"")</f>
        <v>0</v>
      </c>
      <c r="K8">
        <f ca="1">IFERROR(IF(0=LEN(ReferenceData!$K$8),"",ReferenceData!$K$8),"")</f>
        <v>0</v>
      </c>
      <c r="L8">
        <f ca="1">IFERROR(IF(0=LEN(ReferenceData!$L$8),"",ReferenceData!$L$8),"")</f>
        <v>0</v>
      </c>
      <c r="M8">
        <f ca="1">IFERROR(IF(0=LEN(ReferenceData!$M$8),"",ReferenceData!$M$8),"")</f>
        <v>0</v>
      </c>
      <c r="N8">
        <f ca="1">IFERROR(IF(0=LEN(ReferenceData!$N$8),"",ReferenceData!$N$8),"")</f>
        <v>0</v>
      </c>
      <c r="O8">
        <f ca="1">IFERROR(IF(0=LEN(ReferenceData!$O$8),"",ReferenceData!$O$8),"")</f>
        <v>0</v>
      </c>
      <c r="P8">
        <f ca="1">IFERROR(IF(0=LEN(ReferenceData!$P$8),"",ReferenceData!$P$8),"")</f>
        <v>0</v>
      </c>
      <c r="Q8">
        <f ca="1">IFERROR(IF(0=LEN(ReferenceData!$Q$8),"",ReferenceData!$Q$8),"")</f>
        <v>0</v>
      </c>
      <c r="R8">
        <f ca="1">IFERROR(IF(0=LEN(ReferenceData!$R$8),"",ReferenceData!$R$8),"")</f>
        <v>0</v>
      </c>
      <c r="S8">
        <f ca="1">IFERROR(IF(0=LEN(ReferenceData!$S$8),"",ReferenceData!$S$8),"")</f>
        <v>0</v>
      </c>
      <c r="T8">
        <f ca="1">IFERROR(IF(0=LEN(ReferenceData!$T$8),"",ReferenceData!$T$8),"")</f>
        <v>0</v>
      </c>
      <c r="U8">
        <f ca="1">IFERROR(IF(0=LEN(ReferenceData!$U$8),"",ReferenceData!$U$8),"")</f>
        <v>0</v>
      </c>
      <c r="V8">
        <f ca="1">IFERROR(IF(0=LEN(ReferenceData!$V$8),"",ReferenceData!$V$8),"")</f>
        <v>0</v>
      </c>
      <c r="W8">
        <f ca="1">IFERROR(IF(0=LEN(ReferenceData!$W$8),"",ReferenceData!$W$8),"")</f>
        <v>0</v>
      </c>
      <c r="X8">
        <f ca="1">IFERROR(IF(0=LEN(ReferenceData!$X$8),"",ReferenceData!$X$8),"")</f>
        <v>0</v>
      </c>
      <c r="Y8">
        <f ca="1">IFERROR(IF(0=LEN(ReferenceData!$Y$8),"",ReferenceData!$Y$8),"")</f>
        <v>0</v>
      </c>
      <c r="Z8">
        <f ca="1">IFERROR(IF(0=LEN(ReferenceData!$Z$8),"",ReferenceData!$Z$8),"")</f>
        <v>0</v>
      </c>
      <c r="AA8">
        <f ca="1">IFERROR(IF(0=LEN(ReferenceData!$AA$8),"",ReferenceData!$AA$8),"")</f>
        <v>33893.53</v>
      </c>
      <c r="AB8">
        <f ca="1">IFERROR(IF(0=LEN(ReferenceData!$AB$8),"",ReferenceData!$AB$8),"")</f>
        <v>35475.337</v>
      </c>
      <c r="AC8">
        <f ca="1">IFERROR(IF(0=LEN(ReferenceData!$AC$8),"",ReferenceData!$AC$8),"")</f>
        <v>36503.048999999999</v>
      </c>
      <c r="AD8">
        <f ca="1">IFERROR(IF(0=LEN(ReferenceData!$AD$8),"",ReferenceData!$AD$8),"")</f>
        <v>36770.906999999999</v>
      </c>
      <c r="AE8">
        <f ca="1">IFERROR(IF(0=LEN(ReferenceData!$AE$8),"",ReferenceData!$AE$8),"")</f>
        <v>34631.447999999997</v>
      </c>
      <c r="AF8">
        <f ca="1">IFERROR(IF(0=LEN(ReferenceData!$AF$8),"",ReferenceData!$AF$8),"")</f>
        <v>33464.082999999999</v>
      </c>
      <c r="AG8">
        <f ca="1">IFERROR(IF(0=LEN(ReferenceData!$AG$8),"",ReferenceData!$AG$8),"")</f>
        <v>23074.534</v>
      </c>
      <c r="AH8">
        <f ca="1">IFERROR(IF(0=LEN(ReferenceData!$AH$8),"",ReferenceData!$AH$8),"")</f>
        <v>28983.903999999999</v>
      </c>
      <c r="AI8">
        <f ca="1">IFERROR(IF(0=LEN(ReferenceData!$AI$8),"",ReferenceData!$AI$8),"")</f>
        <v>28649.657999999999</v>
      </c>
      <c r="AJ8">
        <f ca="1">IFERROR(IF(0=LEN(ReferenceData!$AJ$8),"",ReferenceData!$AJ$8),"")</f>
        <v>27720.427</v>
      </c>
      <c r="AK8">
        <f ca="1">IFERROR(IF(0=LEN(ReferenceData!$AK$8),"",ReferenceData!$AK$8),"")</f>
        <v>26170.183000000001</v>
      </c>
      <c r="AL8">
        <f ca="1">IFERROR(IF(0=LEN(ReferenceData!$AL$8),"",ReferenceData!$AL$8),"")</f>
        <v>25712.440999999999</v>
      </c>
      <c r="AM8">
        <f ca="1">IFERROR(IF(0=LEN(ReferenceData!$AM$8),"",ReferenceData!$AM$8),"")</f>
        <v>25019.077000000001</v>
      </c>
      <c r="AN8">
        <f ca="1">IFERROR(IF(0=LEN(ReferenceData!$AN$8),"",ReferenceData!$AN$8),"")</f>
        <v>25120.429</v>
      </c>
      <c r="AO8">
        <f ca="1">IFERROR(IF(0=LEN(ReferenceData!$AO$8),"",ReferenceData!$AO$8),"")</f>
        <v>25079.66</v>
      </c>
      <c r="AP8">
        <f ca="1">IFERROR(IF(0=LEN(ReferenceData!$AP$8),"",ReferenceData!$AP$8),"")</f>
        <v>24618.880000000001</v>
      </c>
      <c r="AQ8">
        <f ca="1">IFERROR(IF(0=LEN(ReferenceData!$AQ$8),"",ReferenceData!$AQ$8),"")</f>
        <v>23711.21</v>
      </c>
      <c r="AR8">
        <f ca="1">IFERROR(IF(0=LEN(ReferenceData!$AR$8),"",ReferenceData!$AR$8),"")</f>
        <v>23667.648000000001</v>
      </c>
      <c r="AS8">
        <f ca="1">IFERROR(IF(0=LEN(ReferenceData!$AS$8),"",ReferenceData!$AS$8),"")</f>
        <v>23240.572</v>
      </c>
      <c r="AT8">
        <f ca="1">IFERROR(IF(0=LEN(ReferenceData!$AT$8),"",ReferenceData!$AT$8),"")</f>
        <v>22500.098999999998</v>
      </c>
      <c r="AU8">
        <f ca="1">IFERROR(IF(0=LEN(ReferenceData!$AU$8),"",ReferenceData!$AU$8),"")</f>
        <v>22182.085999999999</v>
      </c>
      <c r="AV8">
        <f ca="1">IFERROR(IF(0=LEN(ReferenceData!$AV$8),"",ReferenceData!$AV$8),"")</f>
        <v>20688.101999999999</v>
      </c>
      <c r="AW8">
        <f ca="1">IFERROR(IF(0=LEN(ReferenceData!$AW$8),"",ReferenceData!$AW$8),"")</f>
        <v>20150.04</v>
      </c>
      <c r="AX8">
        <f ca="1">IFERROR(IF(0=LEN(ReferenceData!$AX$8),"",ReferenceData!$AX$8),"")</f>
        <v>19131.687000000002</v>
      </c>
      <c r="AY8">
        <f ca="1">IFERROR(IF(0=LEN(ReferenceData!$AY$8),"",ReferenceData!$AY$8),"")</f>
        <v>18275.507000000001</v>
      </c>
      <c r="AZ8">
        <f ca="1">IFERROR(IF(0=LEN(ReferenceData!$AZ$8),"",ReferenceData!$AZ$8),"")</f>
        <v>0</v>
      </c>
      <c r="BA8">
        <f ca="1">IFERROR(IF(0=LEN(ReferenceData!$BA$8),"",ReferenceData!$BA$8),"")</f>
        <v>1.931</v>
      </c>
      <c r="BB8">
        <f ca="1">IFERROR(IF(0=LEN(ReferenceData!$BB$8),"",ReferenceData!$BB$8),"")</f>
        <v>8.6929999999999996</v>
      </c>
      <c r="BC8">
        <f ca="1">IFERROR(IF(0=LEN(ReferenceData!$BC$8),"",ReferenceData!$BC$8),"")</f>
        <v>15</v>
      </c>
      <c r="BD8">
        <f ca="1">IFERROR(IF(0=LEN(ReferenceData!$BD$8),"",ReferenceData!$BD$8),"")</f>
        <v>0</v>
      </c>
      <c r="BE8">
        <f ca="1">IFERROR(IF(0=LEN(ReferenceData!$BE$8),"",ReferenceData!$BE$8),"")</f>
        <v>0</v>
      </c>
      <c r="BF8">
        <f ca="1">IFERROR(IF(0=LEN(ReferenceData!$BF$8),"",ReferenceData!$BF$8),"")</f>
        <v>0</v>
      </c>
      <c r="BG8">
        <f ca="1">IFERROR(IF(0=LEN(ReferenceData!$BG$8),"",ReferenceData!$BG$8),"")</f>
        <v>0</v>
      </c>
      <c r="BH8">
        <f ca="1">IFERROR(IF(0=LEN(ReferenceData!$BH$8),"",ReferenceData!$BH$8),"")</f>
        <v>0</v>
      </c>
      <c r="BI8">
        <f ca="1">IFERROR(IF(0=LEN(ReferenceData!$BI$8),"",ReferenceData!$BI$8),"")</f>
        <v>0</v>
      </c>
      <c r="BJ8">
        <f ca="1">IFERROR(IF(0=LEN(ReferenceData!$BJ$8),"",ReferenceData!$BJ$8),"")</f>
        <v>0</v>
      </c>
      <c r="BK8">
        <f ca="1">IFERROR(IF(0=LEN(ReferenceData!$BK$8),"",ReferenceData!$BK$8),"")</f>
        <v>0</v>
      </c>
      <c r="BL8">
        <f ca="1">IFERROR(IF(0=LEN(ReferenceData!$BL$8),"",ReferenceData!$BL$8),"")</f>
        <v>0</v>
      </c>
      <c r="BM8" t="str">
        <f ca="1">IFERROR(IF(0=LEN(ReferenceData!$BM$8),"",ReferenceData!$BM$8),"")</f>
        <v/>
      </c>
    </row>
    <row r="9" spans="1:65" x14ac:dyDescent="0.25">
      <c r="A9" t="str">
        <f>IFERROR(IF(0=LEN(ReferenceData!$A$9),"",ReferenceData!$A$9),"")</f>
        <v xml:space="preserve">                Comerica Inc</v>
      </c>
      <c r="B9" t="str">
        <f>IFERROR(IF(0=LEN(ReferenceData!$B$9),"",ReferenceData!$B$9),"")</f>
        <v>CMA US Equity</v>
      </c>
      <c r="C9" t="str">
        <f>IFERROR(IF(0=LEN(ReferenceData!$C$9),"",ReferenceData!$C$9),"")</f>
        <v>FC470</v>
      </c>
      <c r="D9" t="str">
        <f>IFERROR(IF(0=LEN(ReferenceData!$D$9),"",ReferenceData!$D$9),"")</f>
        <v>FDIC_SECS_HELD_TO_MTY_BOOK_VAL</v>
      </c>
      <c r="E9" t="str">
        <f>IFERROR(IF(0=LEN(ReferenceData!$E$9),"",ReferenceData!$E$9),"")</f>
        <v>Dynamic</v>
      </c>
      <c r="F9" t="str">
        <f ca="1">IFERROR(IF(0=LEN(ReferenceData!$F$9),"",ReferenceData!$F$9),"")</f>
        <v/>
      </c>
      <c r="G9" t="str">
        <f ca="1">IFERROR(IF(0=LEN(ReferenceData!$G$9),"",ReferenceData!$G$9),"")</f>
        <v/>
      </c>
      <c r="H9">
        <f ca="1">IFERROR(IF(0=LEN(ReferenceData!$H$9),"",ReferenceData!$H$9),"")</f>
        <v>0</v>
      </c>
      <c r="I9">
        <f ca="1">IFERROR(IF(0=LEN(ReferenceData!$I$9),"",ReferenceData!$I$9),"")</f>
        <v>0</v>
      </c>
      <c r="J9">
        <f ca="1">IFERROR(IF(0=LEN(ReferenceData!$J$9),"",ReferenceData!$J$9),"")</f>
        <v>0</v>
      </c>
      <c r="K9">
        <f ca="1">IFERROR(IF(0=LEN(ReferenceData!$K$9),"",ReferenceData!$K$9),"")</f>
        <v>0</v>
      </c>
      <c r="L9">
        <f ca="1">IFERROR(IF(0=LEN(ReferenceData!$L$9),"",ReferenceData!$L$9),"")</f>
        <v>0</v>
      </c>
      <c r="M9">
        <f ca="1">IFERROR(IF(0=LEN(ReferenceData!$M$9),"",ReferenceData!$M$9),"")</f>
        <v>0</v>
      </c>
      <c r="N9">
        <f ca="1">IFERROR(IF(0=LEN(ReferenceData!$N$9),"",ReferenceData!$N$9),"")</f>
        <v>0</v>
      </c>
      <c r="O9">
        <f ca="1">IFERROR(IF(0=LEN(ReferenceData!$O$9),"",ReferenceData!$O$9),"")</f>
        <v>0</v>
      </c>
      <c r="P9">
        <f ca="1">IFERROR(IF(0=LEN(ReferenceData!$P$9),"",ReferenceData!$P$9),"")</f>
        <v>0</v>
      </c>
      <c r="Q9">
        <f ca="1">IFERROR(IF(0=LEN(ReferenceData!$Q$9),"",ReferenceData!$Q$9),"")</f>
        <v>0</v>
      </c>
      <c r="R9">
        <f ca="1">IFERROR(IF(0=LEN(ReferenceData!$R$9),"",ReferenceData!$R$9),"")</f>
        <v>0</v>
      </c>
      <c r="S9">
        <f ca="1">IFERROR(IF(0=LEN(ReferenceData!$S$9),"",ReferenceData!$S$9),"")</f>
        <v>0</v>
      </c>
      <c r="T9">
        <f ca="1">IFERROR(IF(0=LEN(ReferenceData!$T$9),"",ReferenceData!$T$9),"")</f>
        <v>0</v>
      </c>
      <c r="U9">
        <f ca="1">IFERROR(IF(0=LEN(ReferenceData!$U$9),"",ReferenceData!$U$9),"")</f>
        <v>0</v>
      </c>
      <c r="V9">
        <f ca="1">IFERROR(IF(0=LEN(ReferenceData!$V$9),"",ReferenceData!$V$9),"")</f>
        <v>0</v>
      </c>
      <c r="W9">
        <f ca="1">IFERROR(IF(0=LEN(ReferenceData!$W$9),"",ReferenceData!$W$9),"")</f>
        <v>0</v>
      </c>
      <c r="X9">
        <f ca="1">IFERROR(IF(0=LEN(ReferenceData!$X$9),"",ReferenceData!$X$9),"")</f>
        <v>0</v>
      </c>
      <c r="Y9">
        <f ca="1">IFERROR(IF(0=LEN(ReferenceData!$Y$9),"",ReferenceData!$Y$9),"")</f>
        <v>0</v>
      </c>
      <c r="Z9">
        <f ca="1">IFERROR(IF(0=LEN(ReferenceData!$Z$9),"",ReferenceData!$Z$9),"")</f>
        <v>0</v>
      </c>
      <c r="AA9">
        <f ca="1">IFERROR(IF(0=LEN(ReferenceData!$AA$9),"",ReferenceData!$AA$9),"")</f>
        <v>0</v>
      </c>
      <c r="AB9">
        <f ca="1">IFERROR(IF(0=LEN(ReferenceData!$AB$9),"",ReferenceData!$AB$9),"")</f>
        <v>0</v>
      </c>
      <c r="AC9">
        <f ca="1">IFERROR(IF(0=LEN(ReferenceData!$AC$9),"",ReferenceData!$AC$9),"")</f>
        <v>0</v>
      </c>
      <c r="AD9">
        <f ca="1">IFERROR(IF(0=LEN(ReferenceData!$AD$9),"",ReferenceData!$AD$9),"")</f>
        <v>0.129</v>
      </c>
      <c r="AE9">
        <f ca="1">IFERROR(IF(0=LEN(ReferenceData!$AE$9),"",ReferenceData!$AE$9),"")</f>
        <v>0.115</v>
      </c>
      <c r="AF9">
        <f ca="1">IFERROR(IF(0=LEN(ReferenceData!$AF$9),"",ReferenceData!$AF$9),"")</f>
        <v>9.8000000000000004E-2</v>
      </c>
      <c r="AG9">
        <f ca="1">IFERROR(IF(0=LEN(ReferenceData!$AG$9),"",ReferenceData!$AG$9),"")</f>
        <v>9.4E-2</v>
      </c>
      <c r="AH9">
        <f ca="1">IFERROR(IF(0=LEN(ReferenceData!$AH$9),"",ReferenceData!$AH$9),"")</f>
        <v>1266.0930000000001</v>
      </c>
      <c r="AI9">
        <f ca="1">IFERROR(IF(0=LEN(ReferenceData!$AI$9),"",ReferenceData!$AI$9),"")</f>
        <v>1344.4369999999999</v>
      </c>
      <c r="AJ9">
        <f ca="1">IFERROR(IF(0=LEN(ReferenceData!$AJ$9),"",ReferenceData!$AJ$9),"")</f>
        <v>1430.3869999999999</v>
      </c>
      <c r="AK9">
        <f ca="1">IFERROR(IF(0=LEN(ReferenceData!$AK$9),"",ReferenceData!$AK$9),"")</f>
        <v>1508.3430000000001</v>
      </c>
      <c r="AL9">
        <f ca="1">IFERROR(IF(0=LEN(ReferenceData!$AL$9),"",ReferenceData!$AL$9),"")</f>
        <v>1582.482</v>
      </c>
      <c r="AM9">
        <f ca="1">IFERROR(IF(0=LEN(ReferenceData!$AM$9),"",ReferenceData!$AM$9),"")</f>
        <v>1694.57</v>
      </c>
      <c r="AN9">
        <f ca="1">IFERROR(IF(0=LEN(ReferenceData!$AN$9),"",ReferenceData!$AN$9),"")</f>
        <v>1806.72</v>
      </c>
      <c r="AO9">
        <f ca="1">IFERROR(IF(0=LEN(ReferenceData!$AO$9),"",ReferenceData!$AO$9),"")</f>
        <v>1907.404</v>
      </c>
      <c r="AP9">
        <f ca="1">IFERROR(IF(0=LEN(ReferenceData!$AP$9),"",ReferenceData!$AP$9),"")</f>
        <v>1980.778</v>
      </c>
      <c r="AQ9">
        <f ca="1">IFERROR(IF(0=LEN(ReferenceData!$AQ$9),"",ReferenceData!$AQ$9),"")</f>
        <v>1863.1590000000001</v>
      </c>
      <c r="AR9">
        <f ca="1">IFERROR(IF(0=LEN(ReferenceData!$AR$9),"",ReferenceData!$AR$9),"")</f>
        <v>1951.915</v>
      </c>
      <c r="AS9">
        <f ca="1">IFERROR(IF(0=LEN(ReferenceData!$AS$9),"",ReferenceData!$AS$9),"")</f>
        <v>1871.1959999999999</v>
      </c>
      <c r="AT9">
        <f ca="1">IFERROR(IF(0=LEN(ReferenceData!$AT$9),"",ReferenceData!$AT$9),"")</f>
        <v>1935.3140000000001</v>
      </c>
      <c r="AU9">
        <f ca="1">IFERROR(IF(0=LEN(ReferenceData!$AU$9),"",ReferenceData!$AU$9),"")</f>
        <v>0</v>
      </c>
      <c r="AV9">
        <f ca="1">IFERROR(IF(0=LEN(ReferenceData!$AV$9),"",ReferenceData!$AV$9),"")</f>
        <v>0</v>
      </c>
      <c r="AW9">
        <f ca="1">IFERROR(IF(0=LEN(ReferenceData!$AW$9),"",ReferenceData!$AW$9),"")</f>
        <v>0</v>
      </c>
      <c r="AX9">
        <f ca="1">IFERROR(IF(0=LEN(ReferenceData!$AX$9),"",ReferenceData!$AX$9),"")</f>
        <v>0</v>
      </c>
      <c r="AY9">
        <f ca="1">IFERROR(IF(0=LEN(ReferenceData!$AY$9),"",ReferenceData!$AY$9),"")</f>
        <v>0</v>
      </c>
      <c r="AZ9">
        <f ca="1">IFERROR(IF(0=LEN(ReferenceData!$AZ$9),"",ReferenceData!$AZ$9),"")</f>
        <v>0</v>
      </c>
      <c r="BA9">
        <f ca="1">IFERROR(IF(0=LEN(ReferenceData!$BA$9),"",ReferenceData!$BA$9),"")</f>
        <v>0</v>
      </c>
      <c r="BB9">
        <f ca="1">IFERROR(IF(0=LEN(ReferenceData!$BB$9),"",ReferenceData!$BB$9),"")</f>
        <v>0</v>
      </c>
      <c r="BC9">
        <f ca="1">IFERROR(IF(0=LEN(ReferenceData!$BC$9),"",ReferenceData!$BC$9),"")</f>
        <v>0</v>
      </c>
      <c r="BD9">
        <f ca="1">IFERROR(IF(0=LEN(ReferenceData!$BD$9),"",ReferenceData!$BD$9),"")</f>
        <v>0</v>
      </c>
      <c r="BE9">
        <f ca="1">IFERROR(IF(0=LEN(ReferenceData!$BE$9),"",ReferenceData!$BE$9),"")</f>
        <v>0</v>
      </c>
      <c r="BF9">
        <f ca="1">IFERROR(IF(0=LEN(ReferenceData!$BF$9),"",ReferenceData!$BF$9),"")</f>
        <v>0</v>
      </c>
      <c r="BG9">
        <f ca="1">IFERROR(IF(0=LEN(ReferenceData!$BG$9),"",ReferenceData!$BG$9),"")</f>
        <v>0</v>
      </c>
      <c r="BH9">
        <f ca="1">IFERROR(IF(0=LEN(ReferenceData!$BH$9),"",ReferenceData!$BH$9),"")</f>
        <v>0</v>
      </c>
      <c r="BI9">
        <f ca="1">IFERROR(IF(0=LEN(ReferenceData!$BI$9),"",ReferenceData!$BI$9),"")</f>
        <v>0</v>
      </c>
      <c r="BJ9">
        <f ca="1">IFERROR(IF(0=LEN(ReferenceData!$BJ$9),"",ReferenceData!$BJ$9),"")</f>
        <v>0</v>
      </c>
      <c r="BK9">
        <f ca="1">IFERROR(IF(0=LEN(ReferenceData!$BK$9),"",ReferenceData!$BK$9),"")</f>
        <v>0</v>
      </c>
      <c r="BL9">
        <f ca="1">IFERROR(IF(0=LEN(ReferenceData!$BL$9),"",ReferenceData!$BL$9),"")</f>
        <v>0</v>
      </c>
      <c r="BM9">
        <f ca="1">IFERROR(IF(0=LEN(ReferenceData!$BM$9),"",ReferenceData!$BM$9),"")</f>
        <v>0</v>
      </c>
    </row>
    <row r="10" spans="1:65" x14ac:dyDescent="0.25">
      <c r="A10" t="str">
        <f>IFERROR(IF(0=LEN(ReferenceData!$A$10),"",ReferenceData!$A$10),"")</f>
        <v xml:space="preserve">                East West Bancorp Inc</v>
      </c>
      <c r="B10" t="str">
        <f>IFERROR(IF(0=LEN(ReferenceData!$B$10),"",ReferenceData!$B$10),"")</f>
        <v>EWBC US Equity</v>
      </c>
      <c r="C10" t="str">
        <f>IFERROR(IF(0=LEN(ReferenceData!$C$10),"",ReferenceData!$C$10),"")</f>
        <v>FC470</v>
      </c>
      <c r="D10" t="str">
        <f>IFERROR(IF(0=LEN(ReferenceData!$D$10),"",ReferenceData!$D$10),"")</f>
        <v>FDIC_SECS_HELD_TO_MTY_BOOK_VAL</v>
      </c>
      <c r="E10" t="str">
        <f>IFERROR(IF(0=LEN(ReferenceData!$E$10),"",ReferenceData!$E$10),"")</f>
        <v>Dynamic</v>
      </c>
      <c r="F10">
        <f ca="1">IFERROR(IF(0=LEN(ReferenceData!$F$10),"",ReferenceData!$F$10),"")</f>
        <v>2917.413</v>
      </c>
      <c r="G10">
        <f ca="1">IFERROR(IF(0=LEN(ReferenceData!$G$10),"",ReferenceData!$G$10),"")</f>
        <v>2928.3989999999999</v>
      </c>
      <c r="H10">
        <f ca="1">IFERROR(IF(0=LEN(ReferenceData!$H$10),"",ReferenceData!$H$10),"")</f>
        <v>2938.25</v>
      </c>
      <c r="I10">
        <f ca="1">IFERROR(IF(0=LEN(ReferenceData!$I$10),"",ReferenceData!$I$10),"")</f>
        <v>2948.6419999999998</v>
      </c>
      <c r="J10">
        <f ca="1">IFERROR(IF(0=LEN(ReferenceData!$J$10),"",ReferenceData!$J$10),"")</f>
        <v>2956.04</v>
      </c>
      <c r="K10">
        <f ca="1">IFERROR(IF(0=LEN(ReferenceData!$K$10),"",ReferenceData!$K$10),"")</f>
        <v>2964.2350000000001</v>
      </c>
      <c r="L10">
        <f ca="1">IFERROR(IF(0=LEN(ReferenceData!$L$10),"",ReferenceData!$L$10),"")</f>
        <v>2975.933</v>
      </c>
      <c r="M10">
        <f ca="1">IFERROR(IF(0=LEN(ReferenceData!$M$10),"",ReferenceData!$M$10),"")</f>
        <v>2993.4209999999998</v>
      </c>
      <c r="N10">
        <f ca="1">IFERROR(IF(0=LEN(ReferenceData!$N$10),"",ReferenceData!$N$10),"")</f>
        <v>3001.8679999999999</v>
      </c>
      <c r="O10">
        <f ca="1">IFERROR(IF(0=LEN(ReferenceData!$O$10),"",ReferenceData!$O$10),"")</f>
        <v>3012.6669999999999</v>
      </c>
      <c r="P10">
        <f ca="1">IFERROR(IF(0=LEN(ReferenceData!$P$10),"",ReferenceData!$P$10),"")</f>
        <v>3028.3020000000001</v>
      </c>
      <c r="Q10">
        <f ca="1">IFERROR(IF(0=LEN(ReferenceData!$Q$10),"",ReferenceData!$Q$10),"")</f>
        <v>2997.7020000000002</v>
      </c>
      <c r="R10">
        <f ca="1">IFERROR(IF(0=LEN(ReferenceData!$R$10),"",ReferenceData!$R$10),"")</f>
        <v>0</v>
      </c>
      <c r="S10">
        <f ca="1">IFERROR(IF(0=LEN(ReferenceData!$S$10),"",ReferenceData!$S$10),"")</f>
        <v>0</v>
      </c>
      <c r="T10">
        <f ca="1">IFERROR(IF(0=LEN(ReferenceData!$T$10),"",ReferenceData!$T$10),"")</f>
        <v>0</v>
      </c>
      <c r="U10">
        <f ca="1">IFERROR(IF(0=LEN(ReferenceData!$U$10),"",ReferenceData!$U$10),"")</f>
        <v>0</v>
      </c>
      <c r="V10">
        <f ca="1">IFERROR(IF(0=LEN(ReferenceData!$V$10),"",ReferenceData!$V$10),"")</f>
        <v>0</v>
      </c>
      <c r="W10">
        <f ca="1">IFERROR(IF(0=LEN(ReferenceData!$W$10),"",ReferenceData!$W$10),"")</f>
        <v>0</v>
      </c>
      <c r="X10">
        <f ca="1">IFERROR(IF(0=LEN(ReferenceData!$X$10),"",ReferenceData!$X$10),"")</f>
        <v>0</v>
      </c>
      <c r="Y10">
        <f ca="1">IFERROR(IF(0=LEN(ReferenceData!$Y$10),"",ReferenceData!$Y$10),"")</f>
        <v>0</v>
      </c>
      <c r="Z10">
        <f ca="1">IFERROR(IF(0=LEN(ReferenceData!$Z$10),"",ReferenceData!$Z$10),"")</f>
        <v>0</v>
      </c>
      <c r="AA10">
        <f ca="1">IFERROR(IF(0=LEN(ReferenceData!$AA$10),"",ReferenceData!$AA$10),"")</f>
        <v>0</v>
      </c>
      <c r="AB10">
        <f ca="1">IFERROR(IF(0=LEN(ReferenceData!$AB$10),"",ReferenceData!$AB$10),"")</f>
        <v>0</v>
      </c>
      <c r="AC10">
        <f ca="1">IFERROR(IF(0=LEN(ReferenceData!$AC$10),"",ReferenceData!$AC$10),"")</f>
        <v>0</v>
      </c>
      <c r="AD10">
        <f ca="1">IFERROR(IF(0=LEN(ReferenceData!$AD$10),"",ReferenceData!$AD$10),"")</f>
        <v>0</v>
      </c>
      <c r="AE10">
        <f ca="1">IFERROR(IF(0=LEN(ReferenceData!$AE$10),"",ReferenceData!$AE$10),"")</f>
        <v>0</v>
      </c>
      <c r="AF10">
        <f ca="1">IFERROR(IF(0=LEN(ReferenceData!$AF$10),"",ReferenceData!$AF$10),"")</f>
        <v>0</v>
      </c>
      <c r="AG10">
        <f ca="1">IFERROR(IF(0=LEN(ReferenceData!$AG$10),"",ReferenceData!$AG$10),"")</f>
        <v>0</v>
      </c>
      <c r="AH10">
        <f ca="1">IFERROR(IF(0=LEN(ReferenceData!$AH$10),"",ReferenceData!$AH$10),"")</f>
        <v>0</v>
      </c>
      <c r="AI10">
        <f ca="1">IFERROR(IF(0=LEN(ReferenceData!$AI$10),"",ReferenceData!$AI$10),"")</f>
        <v>0</v>
      </c>
      <c r="AJ10">
        <f ca="1">IFERROR(IF(0=LEN(ReferenceData!$AJ$10),"",ReferenceData!$AJ$10),"")</f>
        <v>121.131</v>
      </c>
      <c r="AK10">
        <f ca="1">IFERROR(IF(0=LEN(ReferenceData!$AK$10),"",ReferenceData!$AK$10),"")</f>
        <v>132.49700000000001</v>
      </c>
      <c r="AL10">
        <f ca="1">IFERROR(IF(0=LEN(ReferenceData!$AL$10),"",ReferenceData!$AL$10),"")</f>
        <v>143.971</v>
      </c>
      <c r="AM10">
        <f ca="1">IFERROR(IF(0=LEN(ReferenceData!$AM$10),"",ReferenceData!$AM$10),"")</f>
        <v>154.46100000000001</v>
      </c>
      <c r="AN10">
        <f ca="1">IFERROR(IF(0=LEN(ReferenceData!$AN$10),"",ReferenceData!$AN$10),"")</f>
        <v>159.208</v>
      </c>
      <c r="AO10">
        <f ca="1">IFERROR(IF(0=LEN(ReferenceData!$AO$10),"",ReferenceData!$AO$10),"")</f>
        <v>160.13499999999999</v>
      </c>
      <c r="AP10">
        <f ca="1">IFERROR(IF(0=LEN(ReferenceData!$AP$10),"",ReferenceData!$AP$10),"")</f>
        <v>0</v>
      </c>
      <c r="AQ10">
        <f ca="1">IFERROR(IF(0=LEN(ReferenceData!$AQ$10),"",ReferenceData!$AQ$10),"")</f>
        <v>0</v>
      </c>
      <c r="AR10">
        <f ca="1">IFERROR(IF(0=LEN(ReferenceData!$AR$10),"",ReferenceData!$AR$10),"")</f>
        <v>0</v>
      </c>
      <c r="AS10">
        <f ca="1">IFERROR(IF(0=LEN(ReferenceData!$AS$10),"",ReferenceData!$AS$10),"")</f>
        <v>0</v>
      </c>
      <c r="AT10">
        <f ca="1">IFERROR(IF(0=LEN(ReferenceData!$AT$10),"",ReferenceData!$AT$10),"")</f>
        <v>0</v>
      </c>
      <c r="AU10">
        <f ca="1">IFERROR(IF(0=LEN(ReferenceData!$AU$10),"",ReferenceData!$AU$10),"")</f>
        <v>0</v>
      </c>
      <c r="AV10">
        <f ca="1">IFERROR(IF(0=LEN(ReferenceData!$AV$10),"",ReferenceData!$AV$10),"")</f>
        <v>0</v>
      </c>
      <c r="AW10">
        <f ca="1">IFERROR(IF(0=LEN(ReferenceData!$AW$10),"",ReferenceData!$AW$10),"")</f>
        <v>0</v>
      </c>
      <c r="AX10">
        <f ca="1">IFERROR(IF(0=LEN(ReferenceData!$AX$10),"",ReferenceData!$AX$10),"")</f>
        <v>0</v>
      </c>
      <c r="AY10">
        <f ca="1">IFERROR(IF(0=LEN(ReferenceData!$AY$10),"",ReferenceData!$AY$10),"")</f>
        <v>0</v>
      </c>
      <c r="AZ10">
        <f ca="1">IFERROR(IF(0=LEN(ReferenceData!$AZ$10),"",ReferenceData!$AZ$10),"")</f>
        <v>0</v>
      </c>
      <c r="BA10">
        <f ca="1">IFERROR(IF(0=LEN(ReferenceData!$BA$10),"",ReferenceData!$BA$10),"")</f>
        <v>0</v>
      </c>
      <c r="BB10">
        <f ca="1">IFERROR(IF(0=LEN(ReferenceData!$BB$10),"",ReferenceData!$BB$10),"")</f>
        <v>0</v>
      </c>
      <c r="BC10">
        <f ca="1">IFERROR(IF(0=LEN(ReferenceData!$BC$10),"",ReferenceData!$BC$10),"")</f>
        <v>0</v>
      </c>
      <c r="BD10">
        <f ca="1">IFERROR(IF(0=LEN(ReferenceData!$BD$10),"",ReferenceData!$BD$10),"")</f>
        <v>0</v>
      </c>
      <c r="BE10">
        <f ca="1">IFERROR(IF(0=LEN(ReferenceData!$BE$10),"",ReferenceData!$BE$10),"")</f>
        <v>0</v>
      </c>
      <c r="BF10">
        <f ca="1">IFERROR(IF(0=LEN(ReferenceData!$BF$10),"",ReferenceData!$BF$10),"")</f>
        <v>0</v>
      </c>
      <c r="BG10">
        <f ca="1">IFERROR(IF(0=LEN(ReferenceData!$BG$10),"",ReferenceData!$BG$10),"")</f>
        <v>0</v>
      </c>
      <c r="BH10">
        <f ca="1">IFERROR(IF(0=LEN(ReferenceData!$BH$10),"",ReferenceData!$BH$10),"")</f>
        <v>0</v>
      </c>
      <c r="BI10">
        <f ca="1">IFERROR(IF(0=LEN(ReferenceData!$BI$10),"",ReferenceData!$BI$10),"")</f>
        <v>0</v>
      </c>
      <c r="BJ10">
        <f ca="1">IFERROR(IF(0=LEN(ReferenceData!$BJ$10),"",ReferenceData!$BJ$10),"")</f>
        <v>0</v>
      </c>
      <c r="BK10">
        <f ca="1">IFERROR(IF(0=LEN(ReferenceData!$BK$10),"",ReferenceData!$BK$10),"")</f>
        <v>0</v>
      </c>
      <c r="BL10">
        <f ca="1">IFERROR(IF(0=LEN(ReferenceData!$BL$10),"",ReferenceData!$BL$10),"")</f>
        <v>0</v>
      </c>
      <c r="BM10" t="str">
        <f ca="1">IFERROR(IF(0=LEN(ReferenceData!$BM$10),"",ReferenceData!$BM$10),"")</f>
        <v/>
      </c>
    </row>
    <row r="11" spans="1:65" x14ac:dyDescent="0.25">
      <c r="A11" t="str">
        <f>IFERROR(IF(0=LEN(ReferenceData!$A$11),"",ReferenceData!$A$11),"")</f>
        <v xml:space="preserve">                Fifth Third Bancorp</v>
      </c>
      <c r="B11" t="str">
        <f>IFERROR(IF(0=LEN(ReferenceData!$B$11),"",ReferenceData!$B$11),"")</f>
        <v>FITB US Equity</v>
      </c>
      <c r="C11" t="str">
        <f>IFERROR(IF(0=LEN(ReferenceData!$C$11),"",ReferenceData!$C$11),"")</f>
        <v>FC470</v>
      </c>
      <c r="D11" t="str">
        <f>IFERROR(IF(0=LEN(ReferenceData!$D$11),"",ReferenceData!$D$11),"")</f>
        <v>FDIC_SECS_HELD_TO_MTY_BOOK_VAL</v>
      </c>
      <c r="E11" t="str">
        <f>IFERROR(IF(0=LEN(ReferenceData!$E$11),"",ReferenceData!$E$11),"")</f>
        <v>Dynamic</v>
      </c>
      <c r="F11">
        <f ca="1">IFERROR(IF(0=LEN(ReferenceData!$F$11),"",ReferenceData!$F$11),"")</f>
        <v>11277</v>
      </c>
      <c r="G11">
        <f ca="1">IFERROR(IF(0=LEN(ReferenceData!$G$11),"",ReferenceData!$G$11),"")</f>
        <v>11356</v>
      </c>
      <c r="H11">
        <f ca="1">IFERROR(IF(0=LEN(ReferenceData!$H$11),"",ReferenceData!$H$11),"")</f>
        <v>11441</v>
      </c>
      <c r="I11">
        <f ca="1">IFERROR(IF(0=LEN(ReferenceData!$I$11),"",ReferenceData!$I$11),"")</f>
        <v>11519</v>
      </c>
      <c r="J11">
        <f ca="1">IFERROR(IF(0=LEN(ReferenceData!$J$11),"",ReferenceData!$J$11),"")</f>
        <v>0</v>
      </c>
      <c r="K11">
        <f ca="1">IFERROR(IF(0=LEN(ReferenceData!$K$11),"",ReferenceData!$K$11),"")</f>
        <v>0</v>
      </c>
      <c r="L11">
        <f ca="1">IFERROR(IF(0=LEN(ReferenceData!$L$11),"",ReferenceData!$L$11),"")</f>
        <v>0</v>
      </c>
      <c r="M11">
        <f ca="1">IFERROR(IF(0=LEN(ReferenceData!$M$11),"",ReferenceData!$M$11),"")</f>
        <v>0</v>
      </c>
      <c r="N11">
        <f ca="1">IFERROR(IF(0=LEN(ReferenceData!$N$11),"",ReferenceData!$N$11),"")</f>
        <v>3.411</v>
      </c>
      <c r="O11">
        <f ca="1">IFERROR(IF(0=LEN(ReferenceData!$O$11),"",ReferenceData!$O$11),"")</f>
        <v>3.593</v>
      </c>
      <c r="P11">
        <f ca="1">IFERROR(IF(0=LEN(ReferenceData!$P$11),"",ReferenceData!$P$11),"")</f>
        <v>3.7890000000000001</v>
      </c>
      <c r="Q11">
        <f ca="1">IFERROR(IF(0=LEN(ReferenceData!$Q$11),"",ReferenceData!$Q$11),"")</f>
        <v>3.88</v>
      </c>
      <c r="R11">
        <f ca="1">IFERROR(IF(0=LEN(ReferenceData!$R$11),"",ReferenceData!$R$11),"")</f>
        <v>6.2779999999999996</v>
      </c>
      <c r="S11">
        <f ca="1">IFERROR(IF(0=LEN(ReferenceData!$S$11),"",ReferenceData!$S$11),"")</f>
        <v>6.4729999999999999</v>
      </c>
      <c r="T11">
        <f ca="1">IFERROR(IF(0=LEN(ReferenceData!$T$11),"",ReferenceData!$T$11),"")</f>
        <v>8.7490000000000006</v>
      </c>
      <c r="U11">
        <f ca="1">IFERROR(IF(0=LEN(ReferenceData!$U$11),"",ReferenceData!$U$11),"")</f>
        <v>8.7379999999999995</v>
      </c>
      <c r="V11">
        <f ca="1">IFERROR(IF(0=LEN(ReferenceData!$V$11),"",ReferenceData!$V$11),"")</f>
        <v>9.0380000000000003</v>
      </c>
      <c r="W11">
        <f ca="1">IFERROR(IF(0=LEN(ReferenceData!$W$11),"",ReferenceData!$W$11),"")</f>
        <v>13.24</v>
      </c>
      <c r="X11">
        <f ca="1">IFERROR(IF(0=LEN(ReferenceData!$X$11),"",ReferenceData!$X$11),"")</f>
        <v>14.212999999999999</v>
      </c>
      <c r="Y11">
        <f ca="1">IFERROR(IF(0=LEN(ReferenceData!$Y$11),"",ReferenceData!$Y$11),"")</f>
        <v>14.993</v>
      </c>
      <c r="Z11">
        <f ca="1">IFERROR(IF(0=LEN(ReferenceData!$Z$11),"",ReferenceData!$Z$11),"")</f>
        <v>15.25</v>
      </c>
      <c r="AA11">
        <f ca="1">IFERROR(IF(0=LEN(ReferenceData!$AA$11),"",ReferenceData!$AA$11),"")</f>
        <v>15.436999999999999</v>
      </c>
      <c r="AB11">
        <f ca="1">IFERROR(IF(0=LEN(ReferenceData!$AB$11),"",ReferenceData!$AB$11),"")</f>
        <v>15.569000000000001</v>
      </c>
      <c r="AC11">
        <f ca="1">IFERROR(IF(0=LEN(ReferenceData!$AC$11),"",ReferenceData!$AC$11),"")</f>
        <v>15.743</v>
      </c>
      <c r="AD11">
        <f ca="1">IFERROR(IF(0=LEN(ReferenceData!$AD$11),"",ReferenceData!$AD$11),"")</f>
        <v>15.94</v>
      </c>
      <c r="AE11">
        <f ca="1">IFERROR(IF(0=LEN(ReferenceData!$AE$11),"",ReferenceData!$AE$11),"")</f>
        <v>16.123000000000001</v>
      </c>
      <c r="AF11">
        <f ca="1">IFERROR(IF(0=LEN(ReferenceData!$AF$11),"",ReferenceData!$AF$11),"")</f>
        <v>17.420999999999999</v>
      </c>
      <c r="AG11">
        <f ca="1">IFERROR(IF(0=LEN(ReferenceData!$AG$11),"",ReferenceData!$AG$11),"")</f>
        <v>21.645</v>
      </c>
      <c r="AH11">
        <f ca="1">IFERROR(IF(0=LEN(ReferenceData!$AH$11),"",ReferenceData!$AH$11),"")</f>
        <v>21.969000000000001</v>
      </c>
      <c r="AI11">
        <f ca="1">IFERROR(IF(0=LEN(ReferenceData!$AI$11),"",ReferenceData!$AI$11),"")</f>
        <v>23.693999999999999</v>
      </c>
      <c r="AJ11">
        <f ca="1">IFERROR(IF(0=LEN(ReferenceData!$AJ$11),"",ReferenceData!$AJ$11),"")</f>
        <v>24.012</v>
      </c>
      <c r="AK11">
        <f ca="1">IFERROR(IF(0=LEN(ReferenceData!$AK$11),"",ReferenceData!$AK$11),"")</f>
        <v>24.175999999999998</v>
      </c>
      <c r="AL11">
        <f ca="1">IFERROR(IF(0=LEN(ReferenceData!$AL$11),"",ReferenceData!$AL$11),"")</f>
        <v>24.49</v>
      </c>
      <c r="AM11">
        <f ca="1">IFERROR(IF(0=LEN(ReferenceData!$AM$11),"",ReferenceData!$AM$11),"")</f>
        <v>54.78</v>
      </c>
      <c r="AN11">
        <f ca="1">IFERROR(IF(0=LEN(ReferenceData!$AN$11),"",ReferenceData!$AN$11),"")</f>
        <v>60.128999999999998</v>
      </c>
      <c r="AO11">
        <f ca="1">IFERROR(IF(0=LEN(ReferenceData!$AO$11),"",ReferenceData!$AO$11),"")</f>
        <v>62.292000000000002</v>
      </c>
      <c r="AP11">
        <f ca="1">IFERROR(IF(0=LEN(ReferenceData!$AP$11),"",ReferenceData!$AP$11),"")</f>
        <v>68.105000000000004</v>
      </c>
      <c r="AQ11">
        <f ca="1">IFERROR(IF(0=LEN(ReferenceData!$AQ$11),"",ReferenceData!$AQ$11),"")</f>
        <v>155.25700000000001</v>
      </c>
      <c r="AR11">
        <f ca="1">IFERROR(IF(0=LEN(ReferenceData!$AR$11),"",ReferenceData!$AR$11),"")</f>
        <v>155.72999999999999</v>
      </c>
      <c r="AS11">
        <f ca="1">IFERROR(IF(0=LEN(ReferenceData!$AS$11),"",ReferenceData!$AS$11),"")</f>
        <v>175.60900000000001</v>
      </c>
      <c r="AT11">
        <f ca="1">IFERROR(IF(0=LEN(ReferenceData!$AT$11),"",ReferenceData!$AT$11),"")</f>
        <v>185.548</v>
      </c>
      <c r="AU11">
        <f ca="1">IFERROR(IF(0=LEN(ReferenceData!$AU$11),"",ReferenceData!$AU$11),"")</f>
        <v>189.55600000000001</v>
      </c>
      <c r="AV11">
        <f ca="1">IFERROR(IF(0=LEN(ReferenceData!$AV$11),"",ReferenceData!$AV$11),"")</f>
        <v>192.68600000000001</v>
      </c>
      <c r="AW11">
        <f ca="1">IFERROR(IF(0=LEN(ReferenceData!$AW$11),"",ReferenceData!$AW$11),"")</f>
        <v>193.73099999999999</v>
      </c>
      <c r="AX11">
        <f ca="1">IFERROR(IF(0=LEN(ReferenceData!$AX$11),"",ReferenceData!$AX$11),"")</f>
        <v>206.625</v>
      </c>
      <c r="AY11">
        <f ca="1">IFERROR(IF(0=LEN(ReferenceData!$AY$11),"",ReferenceData!$AY$11),"")</f>
        <v>263.55099999999999</v>
      </c>
      <c r="AZ11">
        <f ca="1">IFERROR(IF(0=LEN(ReferenceData!$AZ$11),"",ReferenceData!$AZ$11),"")</f>
        <v>272.93</v>
      </c>
      <c r="BA11">
        <f ca="1">IFERROR(IF(0=LEN(ReferenceData!$BA$11),"",ReferenceData!$BA$11),"")</f>
        <v>281.75799999999998</v>
      </c>
      <c r="BB11">
        <f ca="1">IFERROR(IF(0=LEN(ReferenceData!$BB$11),"",ReferenceData!$BB$11),"")</f>
        <v>282.459</v>
      </c>
      <c r="BC11">
        <f ca="1">IFERROR(IF(0=LEN(ReferenceData!$BC$11),"",ReferenceData!$BC$11),"")</f>
        <v>285.10599999999999</v>
      </c>
      <c r="BD11">
        <f ca="1">IFERROR(IF(0=LEN(ReferenceData!$BD$11),"",ReferenceData!$BD$11),"")</f>
        <v>303.06400000000002</v>
      </c>
      <c r="BE11">
        <f ca="1">IFERROR(IF(0=LEN(ReferenceData!$BE$11),"",ReferenceData!$BE$11),"")</f>
        <v>319.202</v>
      </c>
      <c r="BF11">
        <f ca="1">IFERROR(IF(0=LEN(ReferenceData!$BF$11),"",ReferenceData!$BF$11),"")</f>
        <v>320.07</v>
      </c>
      <c r="BG11">
        <f ca="1">IFERROR(IF(0=LEN(ReferenceData!$BG$11),"",ReferenceData!$BG$11),"")</f>
        <v>334.745</v>
      </c>
      <c r="BH11">
        <f ca="1">IFERROR(IF(0=LEN(ReferenceData!$BH$11),"",ReferenceData!$BH$11),"")</f>
        <v>340.14800000000002</v>
      </c>
      <c r="BI11">
        <f ca="1">IFERROR(IF(0=LEN(ReferenceData!$BI$11),"",ReferenceData!$BI$11),"")</f>
        <v>340.721</v>
      </c>
      <c r="BJ11">
        <f ca="1">IFERROR(IF(0=LEN(ReferenceData!$BJ$11),"",ReferenceData!$BJ$11),"")</f>
        <v>347.43299999999999</v>
      </c>
      <c r="BK11">
        <f ca="1">IFERROR(IF(0=LEN(ReferenceData!$BK$11),"",ReferenceData!$BK$11),"")</f>
        <v>348.851</v>
      </c>
      <c r="BL11">
        <f ca="1">IFERROR(IF(0=LEN(ReferenceData!$BL$11),"",ReferenceData!$BL$11),"")</f>
        <v>348.59899999999999</v>
      </c>
      <c r="BM11" t="str">
        <f ca="1">IFERROR(IF(0=LEN(ReferenceData!$BM$11),"",ReferenceData!$BM$11),"")</f>
        <v/>
      </c>
    </row>
    <row r="12" spans="1:65" x14ac:dyDescent="0.25">
      <c r="A12" t="str">
        <f>IFERROR(IF(0=LEN(ReferenceData!$A$12),"",ReferenceData!$A$12),"")</f>
        <v xml:space="preserve">                First Citizens BancShares Inc/</v>
      </c>
      <c r="B12" t="str">
        <f>IFERROR(IF(0=LEN(ReferenceData!$B$12),"",ReferenceData!$B$12),"")</f>
        <v>FCNCA US Equity</v>
      </c>
      <c r="C12" t="str">
        <f>IFERROR(IF(0=LEN(ReferenceData!$C$12),"",ReferenceData!$C$12),"")</f>
        <v>FC470</v>
      </c>
      <c r="D12" t="str">
        <f>IFERROR(IF(0=LEN(ReferenceData!$D$12),"",ReferenceData!$D$12),"")</f>
        <v>FDIC_SECS_HELD_TO_MTY_BOOK_VAL</v>
      </c>
      <c r="E12" t="str">
        <f>IFERROR(IF(0=LEN(ReferenceData!$E$12),"",ReferenceData!$E$12),"")</f>
        <v>Dynamic</v>
      </c>
      <c r="F12">
        <f ca="1">IFERROR(IF(0=LEN(ReferenceData!$F$12),"",ReferenceData!$F$12),"")</f>
        <v>10237</v>
      </c>
      <c r="G12">
        <f ca="1">IFERROR(IF(0=LEN(ReferenceData!$G$12),"",ReferenceData!$G$12),"")</f>
        <v>10390</v>
      </c>
      <c r="H12">
        <f ca="1">IFERROR(IF(0=LEN(ReferenceData!$H$12),"",ReferenceData!$H$12),"")</f>
        <v>10534</v>
      </c>
      <c r="I12">
        <f ca="1">IFERROR(IF(0=LEN(ReferenceData!$I$12),"",ReferenceData!$I$12),"")</f>
        <v>10048</v>
      </c>
      <c r="J12">
        <f ca="1">IFERROR(IF(0=LEN(ReferenceData!$J$12),"",ReferenceData!$J$12),"")</f>
        <v>9976.9369999999999</v>
      </c>
      <c r="K12">
        <f ca="1">IFERROR(IF(0=LEN(ReferenceData!$K$12),"",ReferenceData!$K$12),"")</f>
        <v>10079.885</v>
      </c>
      <c r="L12">
        <f ca="1">IFERROR(IF(0=LEN(ReferenceData!$L$12),"",ReferenceData!$L$12),"")</f>
        <v>10198.781999999999</v>
      </c>
      <c r="M12">
        <f ca="1">IFERROR(IF(0=LEN(ReferenceData!$M$12),"",ReferenceData!$M$12),"")</f>
        <v>10379.163</v>
      </c>
      <c r="N12">
        <f ca="1">IFERROR(IF(0=LEN(ReferenceData!$N$12),"",ReferenceData!$N$12),"")</f>
        <v>10276.849</v>
      </c>
      <c r="O12">
        <f ca="1">IFERROR(IF(0=LEN(ReferenceData!$O$12),"",ReferenceData!$O$12),"")</f>
        <v>9658.3119999999999</v>
      </c>
      <c r="P12">
        <f ca="1">IFERROR(IF(0=LEN(ReferenceData!$P$12),"",ReferenceData!$P$12),"")</f>
        <v>9829.2219999999998</v>
      </c>
      <c r="Q12">
        <f ca="1">IFERROR(IF(0=LEN(ReferenceData!$Q$12),"",ReferenceData!$Q$12),"")</f>
        <v>10069.647999999999</v>
      </c>
      <c r="R12">
        <f ca="1">IFERROR(IF(0=LEN(ReferenceData!$R$12),"",ReferenceData!$R$12),"")</f>
        <v>3807.4450000000002</v>
      </c>
      <c r="S12">
        <f ca="1">IFERROR(IF(0=LEN(ReferenceData!$S$12),"",ReferenceData!$S$12),"")</f>
        <v>3379.069</v>
      </c>
      <c r="T12">
        <f ca="1">IFERROR(IF(0=LEN(ReferenceData!$T$12),"",ReferenceData!$T$12),"")</f>
        <v>3392.5970000000002</v>
      </c>
      <c r="U12">
        <f ca="1">IFERROR(IF(0=LEN(ReferenceData!$U$12),"",ReferenceData!$U$12),"")</f>
        <v>2806.0920000000001</v>
      </c>
      <c r="V12">
        <f ca="1">IFERROR(IF(0=LEN(ReferenceData!$V$12),"",ReferenceData!$V$12),"")</f>
        <v>2814.7260000000001</v>
      </c>
      <c r="W12">
        <f ca="1">IFERROR(IF(0=LEN(ReferenceData!$W$12),"",ReferenceData!$W$12),"")</f>
        <v>745.476</v>
      </c>
      <c r="X12">
        <f ca="1">IFERROR(IF(0=LEN(ReferenceData!$X$12),"",ReferenceData!$X$12),"")</f>
        <v>771.87199999999996</v>
      </c>
      <c r="Y12">
        <f ca="1">IFERROR(IF(0=LEN(ReferenceData!$Y$12),"",ReferenceData!$Y$12),"")</f>
        <v>720.44100000000003</v>
      </c>
      <c r="Z12">
        <f ca="1">IFERROR(IF(0=LEN(ReferenceData!$Z$12),"",ReferenceData!$Z$12),"")</f>
        <v>0</v>
      </c>
      <c r="AA12">
        <f ca="1">IFERROR(IF(0=LEN(ReferenceData!$AA$12),"",ReferenceData!$AA$12),"")</f>
        <v>2115.1410000000001</v>
      </c>
      <c r="AB12">
        <f ca="1">IFERROR(IF(0=LEN(ReferenceData!$AB$12),"",ReferenceData!$AB$12),"")</f>
        <v>2182.5</v>
      </c>
      <c r="AC12">
        <f ca="1">IFERROR(IF(0=LEN(ReferenceData!$AC$12),"",ReferenceData!$AC$12),"")</f>
        <v>2214.8290000000002</v>
      </c>
      <c r="AD12">
        <f ca="1">IFERROR(IF(0=LEN(ReferenceData!$AD$12),"",ReferenceData!$AD$12),"")</f>
        <v>2184.6529999999998</v>
      </c>
      <c r="AE12">
        <f ca="1">IFERROR(IF(0=LEN(ReferenceData!$AE$12),"",ReferenceData!$AE$12),"")</f>
        <v>2253.4160000000002</v>
      </c>
      <c r="AF12">
        <f ca="1">IFERROR(IF(0=LEN(ReferenceData!$AF$12),"",ReferenceData!$AF$12),"")</f>
        <v>2299.7739999999999</v>
      </c>
      <c r="AG12">
        <f ca="1">IFERROR(IF(0=LEN(ReferenceData!$AG$12),"",ReferenceData!$AG$12),"")</f>
        <v>7.3999999999999996E-2</v>
      </c>
      <c r="AH12">
        <f ca="1">IFERROR(IF(0=LEN(ReferenceData!$AH$12),"",ReferenceData!$AH$12),"")</f>
        <v>7.5999999999999998E-2</v>
      </c>
      <c r="AI12">
        <f ca="1">IFERROR(IF(0=LEN(ReferenceData!$AI$12),"",ReferenceData!$AI$12),"")</f>
        <v>7.8E-2</v>
      </c>
      <c r="AJ12">
        <f ca="1">IFERROR(IF(0=LEN(ReferenceData!$AJ$12),"",ReferenceData!$AJ$12),"")</f>
        <v>0.08</v>
      </c>
      <c r="AK12">
        <f ca="1">IFERROR(IF(0=LEN(ReferenceData!$AK$12),"",ReferenceData!$AK$12),"")</f>
        <v>8.3000000000000004E-2</v>
      </c>
      <c r="AL12">
        <f ca="1">IFERROR(IF(0=LEN(ReferenceData!$AL$12),"",ReferenceData!$AL$12),"")</f>
        <v>9.8000000000000004E-2</v>
      </c>
      <c r="AM12">
        <f ca="1">IFERROR(IF(0=LEN(ReferenceData!$AM$12),"",ReferenceData!$AM$12),"")</f>
        <v>0.125</v>
      </c>
      <c r="AN12">
        <f ca="1">IFERROR(IF(0=LEN(ReferenceData!$AN$12),"",ReferenceData!$AN$12),"")</f>
        <v>0.156</v>
      </c>
      <c r="AO12">
        <f ca="1">IFERROR(IF(0=LEN(ReferenceData!$AO$12),"",ReferenceData!$AO$12),"")</f>
        <v>0.19400000000000001</v>
      </c>
      <c r="AP12">
        <f ca="1">IFERROR(IF(0=LEN(ReferenceData!$AP$12),"",ReferenceData!$AP$12),"")</f>
        <v>0.255</v>
      </c>
      <c r="AQ12">
        <f ca="1">IFERROR(IF(0=LEN(ReferenceData!$AQ$12),"",ReferenceData!$AQ$12),"")</f>
        <v>0.30099999999999999</v>
      </c>
      <c r="AR12">
        <f ca="1">IFERROR(IF(0=LEN(ReferenceData!$AR$12),"",ReferenceData!$AR$12),"")</f>
        <v>0.35099999999999998</v>
      </c>
      <c r="AS12">
        <f ca="1">IFERROR(IF(0=LEN(ReferenceData!$AS$12),"",ReferenceData!$AS$12),"")</f>
        <v>0.441</v>
      </c>
      <c r="AT12">
        <f ca="1">IFERROR(IF(0=LEN(ReferenceData!$AT$12),"",ReferenceData!$AT$12),"")</f>
        <v>0.51800000000000002</v>
      </c>
      <c r="AU12">
        <f ca="1">IFERROR(IF(0=LEN(ReferenceData!$AU$12),"",ReferenceData!$AU$12),"")</f>
        <v>0.60699999999999998</v>
      </c>
      <c r="AV12">
        <f ca="1">IFERROR(IF(0=LEN(ReferenceData!$AV$12),"",ReferenceData!$AV$12),"")</f>
        <v>0.69299999999999995</v>
      </c>
      <c r="AW12">
        <f ca="1">IFERROR(IF(0=LEN(ReferenceData!$AW$12),"",ReferenceData!$AW$12),"")</f>
        <v>0.78200000000000003</v>
      </c>
      <c r="AX12">
        <f ca="1">IFERROR(IF(0=LEN(ReferenceData!$AX$12),"",ReferenceData!$AX$12),"")</f>
        <v>0.90700000000000003</v>
      </c>
      <c r="AY12">
        <f ca="1">IFERROR(IF(0=LEN(ReferenceData!$AY$12),"",ReferenceData!$AY$12),"")</f>
        <v>1.0129999999999999</v>
      </c>
      <c r="AZ12">
        <f ca="1">IFERROR(IF(0=LEN(ReferenceData!$AZ$12),"",ReferenceData!$AZ$12),"")</f>
        <v>1.131</v>
      </c>
      <c r="BA12">
        <f ca="1">IFERROR(IF(0=LEN(ReferenceData!$BA$12),"",ReferenceData!$BA$12),"")</f>
        <v>1.2290000000000001</v>
      </c>
      <c r="BB12">
        <f ca="1">IFERROR(IF(0=LEN(ReferenceData!$BB$12),"",ReferenceData!$BB$12),"")</f>
        <v>1.3420000000000001</v>
      </c>
      <c r="BC12">
        <f ca="1">IFERROR(IF(0=LEN(ReferenceData!$BC$12),"",ReferenceData!$BC$12),"")</f>
        <v>1.4590000000000001</v>
      </c>
      <c r="BD12">
        <f ca="1">IFERROR(IF(0=LEN(ReferenceData!$BD$12),"",ReferenceData!$BD$12),"")</f>
        <v>1.5780000000000001</v>
      </c>
      <c r="BE12">
        <f ca="1">IFERROR(IF(0=LEN(ReferenceData!$BE$12),"",ReferenceData!$BE$12),"")</f>
        <v>1.6879999999999999</v>
      </c>
      <c r="BF12">
        <f ca="1">IFERROR(IF(0=LEN(ReferenceData!$BF$12),"",ReferenceData!$BF$12),"")</f>
        <v>1.8220000000000001</v>
      </c>
      <c r="BG12">
        <f ca="1">IFERROR(IF(0=LEN(ReferenceData!$BG$12),"",ReferenceData!$BG$12),"")</f>
        <v>1.9430000000000001</v>
      </c>
      <c r="BH12">
        <f ca="1">IFERROR(IF(0=LEN(ReferenceData!$BH$12),"",ReferenceData!$BH$12),"")</f>
        <v>2.0979999999999999</v>
      </c>
      <c r="BI12">
        <f ca="1">IFERROR(IF(0=LEN(ReferenceData!$BI$12),"",ReferenceData!$BI$12),"")</f>
        <v>2.3410000000000002</v>
      </c>
      <c r="BJ12">
        <f ca="1">IFERROR(IF(0=LEN(ReferenceData!$BJ$12),"",ReferenceData!$BJ$12),"")</f>
        <v>2.532</v>
      </c>
      <c r="BK12">
        <f ca="1">IFERROR(IF(0=LEN(ReferenceData!$BK$12),"",ReferenceData!$BK$12),"")</f>
        <v>2.645</v>
      </c>
      <c r="BL12">
        <f ca="1">IFERROR(IF(0=LEN(ReferenceData!$BL$12),"",ReferenceData!$BL$12),"")</f>
        <v>3.0840000000000001</v>
      </c>
      <c r="BM12" t="str">
        <f ca="1">IFERROR(IF(0=LEN(ReferenceData!$BM$12),"",ReferenceData!$BM$12),"")</f>
        <v/>
      </c>
    </row>
    <row r="13" spans="1:65" x14ac:dyDescent="0.25">
      <c r="A13" t="str">
        <f>IFERROR(IF(0=LEN(ReferenceData!$A$13),"",ReferenceData!$A$13),"")</f>
        <v xml:space="preserve">                Flagstar Financial Inc</v>
      </c>
      <c r="B13" t="str">
        <f>IFERROR(IF(0=LEN(ReferenceData!$B$13),"",ReferenceData!$B$13),"")</f>
        <v>FLG US Equity</v>
      </c>
      <c r="C13" t="str">
        <f>IFERROR(IF(0=LEN(ReferenceData!$C$13),"",ReferenceData!$C$13),"")</f>
        <v>FC470</v>
      </c>
      <c r="D13" t="str">
        <f>IFERROR(IF(0=LEN(ReferenceData!$D$13),"",ReferenceData!$D$13),"")</f>
        <v>FDIC_SECS_HELD_TO_MTY_BOOK_VAL</v>
      </c>
      <c r="E13" t="str">
        <f>IFERROR(IF(0=LEN(ReferenceData!$E$13),"",ReferenceData!$E$13),"")</f>
        <v>Dynamic</v>
      </c>
      <c r="F13">
        <f ca="1">IFERROR(IF(0=LEN(ReferenceData!$F$13),"",ReferenceData!$F$13),"")</f>
        <v>0</v>
      </c>
      <c r="G13">
        <f ca="1">IFERROR(IF(0=LEN(ReferenceData!$G$13),"",ReferenceData!$G$13),"")</f>
        <v>0</v>
      </c>
      <c r="H13">
        <f ca="1">IFERROR(IF(0=LEN(ReferenceData!$H$13),"",ReferenceData!$H$13),"")</f>
        <v>0</v>
      </c>
      <c r="I13">
        <f ca="1">IFERROR(IF(0=LEN(ReferenceData!$I$13),"",ReferenceData!$I$13),"")</f>
        <v>0</v>
      </c>
      <c r="J13">
        <f ca="1">IFERROR(IF(0=LEN(ReferenceData!$J$13),"",ReferenceData!$J$13),"")</f>
        <v>0</v>
      </c>
      <c r="K13">
        <f ca="1">IFERROR(IF(0=LEN(ReferenceData!$K$13),"",ReferenceData!$K$13),"")</f>
        <v>0</v>
      </c>
      <c r="L13">
        <f ca="1">IFERROR(IF(0=LEN(ReferenceData!$L$13),"",ReferenceData!$L$13),"")</f>
        <v>0</v>
      </c>
      <c r="M13">
        <f ca="1">IFERROR(IF(0=LEN(ReferenceData!$M$13),"",ReferenceData!$M$13),"")</f>
        <v>0</v>
      </c>
      <c r="N13">
        <f ca="1">IFERROR(IF(0=LEN(ReferenceData!$N$13),"",ReferenceData!$N$13),"")</f>
        <v>0</v>
      </c>
      <c r="O13">
        <f ca="1">IFERROR(IF(0=LEN(ReferenceData!$O$13),"",ReferenceData!$O$13),"")</f>
        <v>0</v>
      </c>
      <c r="P13">
        <f ca="1">IFERROR(IF(0=LEN(ReferenceData!$P$13),"",ReferenceData!$P$13),"")</f>
        <v>0</v>
      </c>
      <c r="Q13">
        <f ca="1">IFERROR(IF(0=LEN(ReferenceData!$Q$13),"",ReferenceData!$Q$13),"")</f>
        <v>0</v>
      </c>
      <c r="R13">
        <f ca="1">IFERROR(IF(0=LEN(ReferenceData!$R$13),"",ReferenceData!$R$13),"")</f>
        <v>0</v>
      </c>
      <c r="S13">
        <f ca="1">IFERROR(IF(0=LEN(ReferenceData!$S$13),"",ReferenceData!$S$13),"")</f>
        <v>0</v>
      </c>
      <c r="T13">
        <f ca="1">IFERROR(IF(0=LEN(ReferenceData!$T$13),"",ReferenceData!$T$13),"")</f>
        <v>0</v>
      </c>
      <c r="U13">
        <f ca="1">IFERROR(IF(0=LEN(ReferenceData!$U$13),"",ReferenceData!$U$13),"")</f>
        <v>0</v>
      </c>
      <c r="V13">
        <f ca="1">IFERROR(IF(0=LEN(ReferenceData!$V$13),"",ReferenceData!$V$13),"")</f>
        <v>0</v>
      </c>
      <c r="W13">
        <f ca="1">IFERROR(IF(0=LEN(ReferenceData!$W$13),"",ReferenceData!$W$13),"")</f>
        <v>0</v>
      </c>
      <c r="X13">
        <f ca="1">IFERROR(IF(0=LEN(ReferenceData!$X$13),"",ReferenceData!$X$13),"")</f>
        <v>0</v>
      </c>
      <c r="Y13">
        <f ca="1">IFERROR(IF(0=LEN(ReferenceData!$Y$13),"",ReferenceData!$Y$13),"")</f>
        <v>0</v>
      </c>
      <c r="Z13">
        <f ca="1">IFERROR(IF(0=LEN(ReferenceData!$Z$13),"",ReferenceData!$Z$13),"")</f>
        <v>0</v>
      </c>
      <c r="AA13">
        <f ca="1">IFERROR(IF(0=LEN(ReferenceData!$AA$13),"",ReferenceData!$AA$13),"")</f>
        <v>0</v>
      </c>
      <c r="AB13">
        <f ca="1">IFERROR(IF(0=LEN(ReferenceData!$AB$13),"",ReferenceData!$AB$13),"")</f>
        <v>0</v>
      </c>
      <c r="AC13">
        <f ca="1">IFERROR(IF(0=LEN(ReferenceData!$AC$13),"",ReferenceData!$AC$13),"")</f>
        <v>0</v>
      </c>
      <c r="AD13">
        <f ca="1">IFERROR(IF(0=LEN(ReferenceData!$AD$13),"",ReferenceData!$AD$13),"")</f>
        <v>0</v>
      </c>
      <c r="AE13">
        <f ca="1">IFERROR(IF(0=LEN(ReferenceData!$AE$13),"",ReferenceData!$AE$13),"")</f>
        <v>0</v>
      </c>
      <c r="AF13">
        <f ca="1">IFERROR(IF(0=LEN(ReferenceData!$AF$13),"",ReferenceData!$AF$13),"")</f>
        <v>0</v>
      </c>
      <c r="AG13">
        <f ca="1">IFERROR(IF(0=LEN(ReferenceData!$AG$13),"",ReferenceData!$AG$13),"")</f>
        <v>0</v>
      </c>
      <c r="AH13">
        <f ca="1">IFERROR(IF(0=LEN(ReferenceData!$AH$13),"",ReferenceData!$AH$13),"")</f>
        <v>0</v>
      </c>
      <c r="AI13">
        <f ca="1">IFERROR(IF(0=LEN(ReferenceData!$AI$13),"",ReferenceData!$AI$13),"")</f>
        <v>0</v>
      </c>
      <c r="AJ13">
        <f ca="1">IFERROR(IF(0=LEN(ReferenceData!$AJ$13),"",ReferenceData!$AJ$13),"")</f>
        <v>0</v>
      </c>
      <c r="AK13">
        <f ca="1">IFERROR(IF(0=LEN(ReferenceData!$AK$13),"",ReferenceData!$AK$13),"")</f>
        <v>3642.1039999999998</v>
      </c>
      <c r="AL13">
        <f ca="1">IFERROR(IF(0=LEN(ReferenceData!$AL$13),"",ReferenceData!$AL$13),"")</f>
        <v>3712.7759999999998</v>
      </c>
      <c r="AM13">
        <f ca="1">IFERROR(IF(0=LEN(ReferenceData!$AM$13),"",ReferenceData!$AM$13),"")</f>
        <v>3651.9250000000002</v>
      </c>
      <c r="AN13">
        <f ca="1">IFERROR(IF(0=LEN(ReferenceData!$AN$13),"",ReferenceData!$AN$13),"")</f>
        <v>3822.5610000000001</v>
      </c>
      <c r="AO13">
        <f ca="1">IFERROR(IF(0=LEN(ReferenceData!$AO$13),"",ReferenceData!$AO$13),"")</f>
        <v>4068.75</v>
      </c>
      <c r="AP13">
        <f ca="1">IFERROR(IF(0=LEN(ReferenceData!$AP$13),"",ReferenceData!$AP$13),"")</f>
        <v>5969.39</v>
      </c>
      <c r="AQ13">
        <f ca="1">IFERROR(IF(0=LEN(ReferenceData!$AQ$13),"",ReferenceData!$AQ$13),"")</f>
        <v>6597.2839999999997</v>
      </c>
      <c r="AR13">
        <f ca="1">IFERROR(IF(0=LEN(ReferenceData!$AR$13),"",ReferenceData!$AR$13),"")</f>
        <v>6658.3620000000001</v>
      </c>
      <c r="AS13">
        <f ca="1">IFERROR(IF(0=LEN(ReferenceData!$AS$13),"",ReferenceData!$AS$13),"")</f>
        <v>6784.8810000000003</v>
      </c>
      <c r="AT13">
        <f ca="1">IFERROR(IF(0=LEN(ReferenceData!$AT$13),"",ReferenceData!$AT$13),"")</f>
        <v>6922.6660000000002</v>
      </c>
      <c r="AU13">
        <f ca="1">IFERROR(IF(0=LEN(ReferenceData!$AU$13),"",ReferenceData!$AU$13),"")</f>
        <v>7268.2439999999997</v>
      </c>
      <c r="AV13">
        <f ca="1">IFERROR(IF(0=LEN(ReferenceData!$AV$13),"",ReferenceData!$AV$13),"")</f>
        <v>7547.9110000000001</v>
      </c>
      <c r="AW13">
        <f ca="1">IFERROR(IF(0=LEN(ReferenceData!$AW$13),"",ReferenceData!$AW$13),"")</f>
        <v>7707.0919999999996</v>
      </c>
      <c r="AX13">
        <f ca="1">IFERROR(IF(0=LEN(ReferenceData!$AX$13),"",ReferenceData!$AX$13),"")</f>
        <v>7670.2820000000002</v>
      </c>
      <c r="AY13">
        <f ca="1">IFERROR(IF(0=LEN(ReferenceData!$AY$13),"",ReferenceData!$AY$13),"")</f>
        <v>6777.7160000000003</v>
      </c>
      <c r="AZ13">
        <f ca="1">IFERROR(IF(0=LEN(ReferenceData!$AZ$13),"",ReferenceData!$AZ$13),"")</f>
        <v>5626.6049999999996</v>
      </c>
      <c r="BA13">
        <f ca="1">IFERROR(IF(0=LEN(ReferenceData!$BA$13),"",ReferenceData!$BA$13),"")</f>
        <v>5139.8270000000002</v>
      </c>
      <c r="BB13">
        <f ca="1">IFERROR(IF(0=LEN(ReferenceData!$BB$13),"",ReferenceData!$BB$13),"")</f>
        <v>4484.2619999999997</v>
      </c>
      <c r="BC13">
        <f ca="1">IFERROR(IF(0=LEN(ReferenceData!$BC$13),"",ReferenceData!$BC$13),"")</f>
        <v>4765.6940000000004</v>
      </c>
      <c r="BD13">
        <f ca="1">IFERROR(IF(0=LEN(ReferenceData!$BD$13),"",ReferenceData!$BD$13),"")</f>
        <v>3853.587</v>
      </c>
      <c r="BE13">
        <f ca="1">IFERROR(IF(0=LEN(ReferenceData!$BE$13),"",ReferenceData!$BE$13),"")</f>
        <v>4305.0709999999999</v>
      </c>
      <c r="BF13">
        <f ca="1">IFERROR(IF(0=LEN(ReferenceData!$BF$13),"",ReferenceData!$BF$13),"")</f>
        <v>3815.8539999999998</v>
      </c>
      <c r="BG13">
        <f ca="1">IFERROR(IF(0=LEN(ReferenceData!$BG$13),"",ReferenceData!$BG$13),"")</f>
        <v>4648.5519999999997</v>
      </c>
      <c r="BH13">
        <f ca="1">IFERROR(IF(0=LEN(ReferenceData!$BH$13),"",ReferenceData!$BH$13),"")</f>
        <v>5506.6450000000004</v>
      </c>
      <c r="BI13">
        <f ca="1">IFERROR(IF(0=LEN(ReferenceData!$BI$13),"",ReferenceData!$BI$13),"")</f>
        <v>4304.2190000000001</v>
      </c>
      <c r="BJ13">
        <f ca="1">IFERROR(IF(0=LEN(ReferenceData!$BJ$13),"",ReferenceData!$BJ$13),"")</f>
        <v>4135.9350000000004</v>
      </c>
      <c r="BK13">
        <f ca="1">IFERROR(IF(0=LEN(ReferenceData!$BK$13),"",ReferenceData!$BK$13),"")</f>
        <v>3997.7930000000001</v>
      </c>
      <c r="BL13">
        <f ca="1">IFERROR(IF(0=LEN(ReferenceData!$BL$13),"",ReferenceData!$BL$13),"")</f>
        <v>3765.3139999999999</v>
      </c>
      <c r="BM13" t="str">
        <f ca="1">IFERROR(IF(0=LEN(ReferenceData!$BM$13),"",ReferenceData!$BM$13),"")</f>
        <v/>
      </c>
    </row>
    <row r="14" spans="1:65" x14ac:dyDescent="0.25">
      <c r="A14" t="str">
        <f>IFERROR(IF(0=LEN(ReferenceData!$A$14),"",ReferenceData!$A$14),"")</f>
        <v xml:space="preserve">                Huntington Bancshares Inc/OH</v>
      </c>
      <c r="B14" t="str">
        <f>IFERROR(IF(0=LEN(ReferenceData!$B$14),"",ReferenceData!$B$14),"")</f>
        <v>HBAN US Equity</v>
      </c>
      <c r="C14" t="str">
        <f>IFERROR(IF(0=LEN(ReferenceData!$C$14),"",ReferenceData!$C$14),"")</f>
        <v>FC470</v>
      </c>
      <c r="D14" t="str">
        <f>IFERROR(IF(0=LEN(ReferenceData!$D$14),"",ReferenceData!$D$14),"")</f>
        <v>FDIC_SECS_HELD_TO_MTY_BOOK_VAL</v>
      </c>
      <c r="E14" t="str">
        <f>IFERROR(IF(0=LEN(ReferenceData!$E$14),"",ReferenceData!$E$14),"")</f>
        <v>Dynamic</v>
      </c>
      <c r="F14">
        <f ca="1">IFERROR(IF(0=LEN(ReferenceData!$F$14),"",ReferenceData!$F$14),"")</f>
        <v>16368.063</v>
      </c>
      <c r="G14">
        <f ca="1">IFERROR(IF(0=LEN(ReferenceData!$G$14),"",ReferenceData!$G$14),"")</f>
        <v>15670.222</v>
      </c>
      <c r="H14">
        <f ca="1">IFERROR(IF(0=LEN(ReferenceData!$H$14),"",ReferenceData!$H$14),"")</f>
        <v>15036.319</v>
      </c>
      <c r="I14">
        <f ca="1">IFERROR(IF(0=LEN(ReferenceData!$I$14),"",ReferenceData!$I$14),"")</f>
        <v>15416.141</v>
      </c>
      <c r="J14">
        <f ca="1">IFERROR(IF(0=LEN(ReferenceData!$J$14),"",ReferenceData!$J$14),"")</f>
        <v>15749.843999999999</v>
      </c>
      <c r="K14">
        <f ca="1">IFERROR(IF(0=LEN(ReferenceData!$K$14),"",ReferenceData!$K$14),"")</f>
        <v>16147.807000000001</v>
      </c>
      <c r="L14">
        <f ca="1">IFERROR(IF(0=LEN(ReferenceData!$L$14),"",ReferenceData!$L$14),"")</f>
        <v>16578.154999999999</v>
      </c>
      <c r="M14">
        <f ca="1">IFERROR(IF(0=LEN(ReferenceData!$M$14),"",ReferenceData!$M$14),"")</f>
        <v>16977.431</v>
      </c>
      <c r="N14">
        <f ca="1">IFERROR(IF(0=LEN(ReferenceData!$N$14),"",ReferenceData!$N$14),"")</f>
        <v>17051.511999999999</v>
      </c>
      <c r="O14">
        <f ca="1">IFERROR(IF(0=LEN(ReferenceData!$O$14),"",ReferenceData!$O$14),"")</f>
        <v>17173.244999999999</v>
      </c>
      <c r="P14">
        <f ca="1">IFERROR(IF(0=LEN(ReferenceData!$P$14),"",ReferenceData!$P$14),"")</f>
        <v>17355.256000000001</v>
      </c>
      <c r="Q14">
        <f ca="1">IFERROR(IF(0=LEN(ReferenceData!$Q$14),"",ReferenceData!$Q$14),"")</f>
        <v>17189.989000000001</v>
      </c>
      <c r="R14">
        <f ca="1">IFERROR(IF(0=LEN(ReferenceData!$R$14),"",ReferenceData!$R$14),"")</f>
        <v>12446.603999999999</v>
      </c>
      <c r="S14">
        <f ca="1">IFERROR(IF(0=LEN(ReferenceData!$S$14),"",ReferenceData!$S$14),"")</f>
        <v>12454.611999999999</v>
      </c>
      <c r="T14">
        <f ca="1">IFERROR(IF(0=LEN(ReferenceData!$T$14),"",ReferenceData!$T$14),"")</f>
        <v>11415</v>
      </c>
      <c r="U14">
        <f ca="1">IFERROR(IF(0=LEN(ReferenceData!$U$14),"",ReferenceData!$U$14),"")</f>
        <v>7814.8990000000003</v>
      </c>
      <c r="V14">
        <f ca="1">IFERROR(IF(0=LEN(ReferenceData!$V$14),"",ReferenceData!$V$14),"")</f>
        <v>8861.0889999999999</v>
      </c>
      <c r="W14">
        <f ca="1">IFERROR(IF(0=LEN(ReferenceData!$W$14),"",ReferenceData!$W$14),"")</f>
        <v>8556.9169999999995</v>
      </c>
      <c r="X14">
        <f ca="1">IFERROR(IF(0=LEN(ReferenceData!$X$14),"",ReferenceData!$X$14),"")</f>
        <v>9415.7029999999995</v>
      </c>
      <c r="Y14">
        <f ca="1">IFERROR(IF(0=LEN(ReferenceData!$Y$14),"",ReferenceData!$Y$14),"")</f>
        <v>10192.565000000001</v>
      </c>
      <c r="Z14">
        <f ca="1">IFERROR(IF(0=LEN(ReferenceData!$Z$14),"",ReferenceData!$Z$14),"")</f>
        <v>9069.6</v>
      </c>
      <c r="AA14">
        <f ca="1">IFERROR(IF(0=LEN(ReferenceData!$AA$14),"",ReferenceData!$AA$14),"")</f>
        <v>8429.5409999999993</v>
      </c>
      <c r="AB14">
        <f ca="1">IFERROR(IF(0=LEN(ReferenceData!$AB$14),"",ReferenceData!$AB$14),"")</f>
        <v>8704.3909999999996</v>
      </c>
      <c r="AC14">
        <f ca="1">IFERROR(IF(0=LEN(ReferenceData!$AC$14),"",ReferenceData!$AC$14),"")</f>
        <v>8747.24</v>
      </c>
      <c r="AD14">
        <f ca="1">IFERROR(IF(0=LEN(ReferenceData!$AD$14),"",ReferenceData!$AD$14),"")</f>
        <v>8564.6409999999996</v>
      </c>
      <c r="AE14">
        <f ca="1">IFERROR(IF(0=LEN(ReferenceData!$AE$14),"",ReferenceData!$AE$14),"")</f>
        <v>8465.2829999999994</v>
      </c>
      <c r="AF14">
        <f ca="1">IFERROR(IF(0=LEN(ReferenceData!$AF$14),"",ReferenceData!$AF$14),"")</f>
        <v>8681.6669999999995</v>
      </c>
      <c r="AG14">
        <f ca="1">IFERROR(IF(0=LEN(ReferenceData!$AG$14),"",ReferenceData!$AG$14),"")</f>
        <v>8788.7610000000004</v>
      </c>
      <c r="AH14">
        <f ca="1">IFERROR(IF(0=LEN(ReferenceData!$AH$14),"",ReferenceData!$AH$14),"")</f>
        <v>9090.9500000000007</v>
      </c>
      <c r="AI14">
        <f ca="1">IFERROR(IF(0=LEN(ReferenceData!$AI$14),"",ReferenceData!$AI$14),"")</f>
        <v>8688.3989999999994</v>
      </c>
      <c r="AJ14">
        <f ca="1">IFERROR(IF(0=LEN(ReferenceData!$AJ$14),"",ReferenceData!$AJ$14),"")</f>
        <v>8279.5769999999993</v>
      </c>
      <c r="AK14">
        <f ca="1">IFERROR(IF(0=LEN(ReferenceData!$AK$14),"",ReferenceData!$AK$14),"")</f>
        <v>7533.5169999999998</v>
      </c>
      <c r="AL14">
        <f ca="1">IFERROR(IF(0=LEN(ReferenceData!$AL$14),"",ReferenceData!$AL$14),"")</f>
        <v>7806.9390000000003</v>
      </c>
      <c r="AM14">
        <f ca="1">IFERROR(IF(0=LEN(ReferenceData!$AM$14),"",ReferenceData!$AM$14),"")</f>
        <v>5301.3869999999997</v>
      </c>
      <c r="AN14">
        <f ca="1">IFERROR(IF(0=LEN(ReferenceData!$AN$14),"",ReferenceData!$AN$14),"")</f>
        <v>5658.5649999999996</v>
      </c>
      <c r="AO14">
        <f ca="1">IFERROR(IF(0=LEN(ReferenceData!$AO$14),"",ReferenceData!$AO$14),"")</f>
        <v>5946.1440000000002</v>
      </c>
      <c r="AP14">
        <f ca="1">IFERROR(IF(0=LEN(ReferenceData!$AP$14),"",ReferenceData!$AP$14),"")</f>
        <v>6159.59</v>
      </c>
      <c r="AQ14">
        <f ca="1">IFERROR(IF(0=LEN(ReferenceData!$AQ$14),"",ReferenceData!$AQ$14),"")</f>
        <v>3157.6880000000001</v>
      </c>
      <c r="AR14">
        <f ca="1">IFERROR(IF(0=LEN(ReferenceData!$AR$14),"",ReferenceData!$AR$14),"")</f>
        <v>3304.16</v>
      </c>
      <c r="AS14">
        <f ca="1">IFERROR(IF(0=LEN(ReferenceData!$AS$14),"",ReferenceData!$AS$14),"")</f>
        <v>3336.663</v>
      </c>
      <c r="AT14">
        <f ca="1">IFERROR(IF(0=LEN(ReferenceData!$AT$14),"",ReferenceData!$AT$14),"")</f>
        <v>3379.9050000000002</v>
      </c>
      <c r="AU14">
        <f ca="1">IFERROR(IF(0=LEN(ReferenceData!$AU$14),"",ReferenceData!$AU$14),"")</f>
        <v>3496.4929999999999</v>
      </c>
      <c r="AV14">
        <f ca="1">IFERROR(IF(0=LEN(ReferenceData!$AV$14),"",ReferenceData!$AV$14),"")</f>
        <v>3621.9949999999999</v>
      </c>
      <c r="AW14">
        <f ca="1">IFERROR(IF(0=LEN(ReferenceData!$AW$14),"",ReferenceData!$AW$14),"")</f>
        <v>3734.723</v>
      </c>
      <c r="AX14">
        <f ca="1">IFERROR(IF(0=LEN(ReferenceData!$AX$14),"",ReferenceData!$AX$14),"")</f>
        <v>3836.6669999999999</v>
      </c>
      <c r="AY14">
        <f ca="1">IFERROR(IF(0=LEN(ReferenceData!$AY$14),"",ReferenceData!$AY$14),"")</f>
        <v>2236.1210000000001</v>
      </c>
      <c r="AZ14">
        <f ca="1">IFERROR(IF(0=LEN(ReferenceData!$AZ$14),"",ReferenceData!$AZ$14),"")</f>
        <v>2172.2289999999998</v>
      </c>
      <c r="BA14">
        <f ca="1">IFERROR(IF(0=LEN(ReferenceData!$BA$14),"",ReferenceData!$BA$14),"")</f>
        <v>1693.0740000000001</v>
      </c>
      <c r="BB14">
        <f ca="1">IFERROR(IF(0=LEN(ReferenceData!$BB$14),"",ReferenceData!$BB$14),"")</f>
        <v>1743.876</v>
      </c>
      <c r="BC14">
        <f ca="1">IFERROR(IF(0=LEN(ReferenceData!$BC$14),"",ReferenceData!$BC$14),"")</f>
        <v>1582.15</v>
      </c>
      <c r="BD14">
        <f ca="1">IFERROR(IF(0=LEN(ReferenceData!$BD$14),"",ReferenceData!$BD$14),"")</f>
        <v>598.38499999999999</v>
      </c>
      <c r="BE14">
        <f ca="1">IFERROR(IF(0=LEN(ReferenceData!$BE$14),"",ReferenceData!$BE$14),"")</f>
        <v>621.798</v>
      </c>
      <c r="BF14">
        <f ca="1">IFERROR(IF(0=LEN(ReferenceData!$BF$14),"",ReferenceData!$BF$14),"")</f>
        <v>640.55100000000004</v>
      </c>
      <c r="BG14">
        <f ca="1">IFERROR(IF(0=LEN(ReferenceData!$BG$14),"",ReferenceData!$BG$14),"")</f>
        <v>658.25</v>
      </c>
      <c r="BH14">
        <f ca="1">IFERROR(IF(0=LEN(ReferenceData!$BH$14),"",ReferenceData!$BH$14),"")</f>
        <v>670.47799999999995</v>
      </c>
      <c r="BI14">
        <f ca="1">IFERROR(IF(0=LEN(ReferenceData!$BI$14),"",ReferenceData!$BI$14),"")</f>
        <v>0</v>
      </c>
      <c r="BJ14">
        <f ca="1">IFERROR(IF(0=LEN(ReferenceData!$BJ$14),"",ReferenceData!$BJ$14),"")</f>
        <v>0</v>
      </c>
      <c r="BK14">
        <f ca="1">IFERROR(IF(0=LEN(ReferenceData!$BK$14),"",ReferenceData!$BK$14),"")</f>
        <v>0</v>
      </c>
      <c r="BL14">
        <f ca="1">IFERROR(IF(0=LEN(ReferenceData!$BL$14),"",ReferenceData!$BL$14),"")</f>
        <v>0</v>
      </c>
      <c r="BM14" t="str">
        <f ca="1">IFERROR(IF(0=LEN(ReferenceData!$BM$14),"",ReferenceData!$BM$14),"")</f>
        <v/>
      </c>
    </row>
    <row r="15" spans="1:65" x14ac:dyDescent="0.25">
      <c r="A15" t="str">
        <f>IFERROR(IF(0=LEN(ReferenceData!$A$15),"",ReferenceData!$A$15),"")</f>
        <v xml:space="preserve">                JPMorgan Chase &amp; Co</v>
      </c>
      <c r="B15" t="str">
        <f>IFERROR(IF(0=LEN(ReferenceData!$B$15),"",ReferenceData!$B$15),"")</f>
        <v>JPM US Equity</v>
      </c>
      <c r="C15" t="str">
        <f>IFERROR(IF(0=LEN(ReferenceData!$C$15),"",ReferenceData!$C$15),"")</f>
        <v>FC470</v>
      </c>
      <c r="D15" t="str">
        <f>IFERROR(IF(0=LEN(ReferenceData!$D$15),"",ReferenceData!$D$15),"")</f>
        <v>FDIC_SECS_HELD_TO_MTY_BOOK_VAL</v>
      </c>
      <c r="E15" t="str">
        <f>IFERROR(IF(0=LEN(ReferenceData!$E$15),"",ReferenceData!$E$15),"")</f>
        <v>Dynamic</v>
      </c>
      <c r="F15">
        <f ca="1">IFERROR(IF(0=LEN(ReferenceData!$F$15),"",ReferenceData!$F$15),"")</f>
        <v>274571</v>
      </c>
      <c r="G15">
        <f ca="1">IFERROR(IF(0=LEN(ReferenceData!$G$15),"",ReferenceData!$G$15),"")</f>
        <v>300077</v>
      </c>
      <c r="H15">
        <f ca="1">IFERROR(IF(0=LEN(ReferenceData!$H$15),"",ReferenceData!$H$15),"")</f>
        <v>323871</v>
      </c>
      <c r="I15">
        <f ca="1">IFERROR(IF(0=LEN(ReferenceData!$I$15),"",ReferenceData!$I$15),"")</f>
        <v>334647</v>
      </c>
      <c r="J15">
        <f ca="1">IFERROR(IF(0=LEN(ReferenceData!$J$15),"",ReferenceData!$J$15),"")</f>
        <v>369942</v>
      </c>
      <c r="K15">
        <f ca="1">IFERROR(IF(0=LEN(ReferenceData!$K$15),"",ReferenceData!$K$15),"")</f>
        <v>388348</v>
      </c>
      <c r="L15">
        <f ca="1">IFERROR(IF(0=LEN(ReferenceData!$L$15),"",ReferenceData!$L$15),"")</f>
        <v>409015</v>
      </c>
      <c r="M15">
        <f ca="1">IFERROR(IF(0=LEN(ReferenceData!$M$15),"",ReferenceData!$M$15),"")</f>
        <v>412888</v>
      </c>
      <c r="N15">
        <f ca="1">IFERROR(IF(0=LEN(ReferenceData!$N$15),"",ReferenceData!$N$15),"")</f>
        <v>425372</v>
      </c>
      <c r="O15">
        <f ca="1">IFERROR(IF(0=LEN(ReferenceData!$O$15),"",ReferenceData!$O$15),"")</f>
        <v>430157</v>
      </c>
      <c r="P15">
        <f ca="1">IFERROR(IF(0=LEN(ReferenceData!$P$15),"",ReferenceData!$P$15),"")</f>
        <v>441696</v>
      </c>
      <c r="Q15">
        <f ca="1">IFERROR(IF(0=LEN(ReferenceData!$Q$15),"",ReferenceData!$Q$15),"")</f>
        <v>366624</v>
      </c>
      <c r="R15">
        <f ca="1">IFERROR(IF(0=LEN(ReferenceData!$R$15),"",ReferenceData!$R$15),"")</f>
        <v>363746</v>
      </c>
      <c r="S15">
        <f ca="1">IFERROR(IF(0=LEN(ReferenceData!$S$15),"",ReferenceData!$S$15),"")</f>
        <v>343612</v>
      </c>
      <c r="T15">
        <f ca="1">IFERROR(IF(0=LEN(ReferenceData!$T$15),"",ReferenceData!$T$15),"")</f>
        <v>341560</v>
      </c>
      <c r="U15">
        <f ca="1">IFERROR(IF(0=LEN(ReferenceData!$U$15),"",ReferenceData!$U$15),"")</f>
        <v>217546</v>
      </c>
      <c r="V15">
        <f ca="1">IFERROR(IF(0=LEN(ReferenceData!$V$15),"",ReferenceData!$V$15),"")</f>
        <v>201899</v>
      </c>
      <c r="W15">
        <f ca="1">IFERROR(IF(0=LEN(ReferenceData!$W$15),"",ReferenceData!$W$15),"")</f>
        <v>141673</v>
      </c>
      <c r="X15">
        <f ca="1">IFERROR(IF(0=LEN(ReferenceData!$X$15),"",ReferenceData!$X$15),"")</f>
        <v>72931</v>
      </c>
      <c r="Y15">
        <f ca="1">IFERROR(IF(0=LEN(ReferenceData!$Y$15),"",ReferenceData!$Y$15),"")</f>
        <v>71219</v>
      </c>
      <c r="Z15">
        <f ca="1">IFERROR(IF(0=LEN(ReferenceData!$Z$15),"",ReferenceData!$Z$15),"")</f>
        <v>47540</v>
      </c>
      <c r="AA15">
        <f ca="1">IFERROR(IF(0=LEN(ReferenceData!$AA$15),"",ReferenceData!$AA$15),"")</f>
        <v>40830</v>
      </c>
      <c r="AB15">
        <f ca="1">IFERROR(IF(0=LEN(ReferenceData!$AB$15),"",ReferenceData!$AB$15),"")</f>
        <v>30907</v>
      </c>
      <c r="AC15">
        <f ca="1">IFERROR(IF(0=LEN(ReferenceData!$AC$15),"",ReferenceData!$AC$15),"")</f>
        <v>30849</v>
      </c>
      <c r="AD15">
        <f ca="1">IFERROR(IF(0=LEN(ReferenceData!$AD$15),"",ReferenceData!$AD$15),"")</f>
        <v>31434</v>
      </c>
      <c r="AE15">
        <f ca="1">IFERROR(IF(0=LEN(ReferenceData!$AE$15),"",ReferenceData!$AE$15),"")</f>
        <v>31368</v>
      </c>
      <c r="AF15">
        <f ca="1">IFERROR(IF(0=LEN(ReferenceData!$AF$15),"",ReferenceData!$AF$15),"")</f>
        <v>31006</v>
      </c>
      <c r="AG15">
        <f ca="1">IFERROR(IF(0=LEN(ReferenceData!$AG$15),"",ReferenceData!$AG$15),"")</f>
        <v>29042</v>
      </c>
      <c r="AH15">
        <f ca="1">IFERROR(IF(0=LEN(ReferenceData!$AH$15),"",ReferenceData!$AH$15),"")</f>
        <v>47733</v>
      </c>
      <c r="AI15">
        <f ca="1">IFERROR(IF(0=LEN(ReferenceData!$AI$15),"",ReferenceData!$AI$15),"")</f>
        <v>47079</v>
      </c>
      <c r="AJ15">
        <f ca="1">IFERROR(IF(0=LEN(ReferenceData!$AJ$15),"",ReferenceData!$AJ$15),"")</f>
        <v>47761</v>
      </c>
      <c r="AK15">
        <f ca="1">IFERROR(IF(0=LEN(ReferenceData!$AK$15),"",ReferenceData!$AK$15),"")</f>
        <v>48913</v>
      </c>
      <c r="AL15">
        <f ca="1">IFERROR(IF(0=LEN(ReferenceData!$AL$15),"",ReferenceData!$AL$15),"")</f>
        <v>50168</v>
      </c>
      <c r="AM15">
        <f ca="1">IFERROR(IF(0=LEN(ReferenceData!$AM$15),"",ReferenceData!$AM$15),"")</f>
        <v>52011</v>
      </c>
      <c r="AN15">
        <f ca="1">IFERROR(IF(0=LEN(ReferenceData!$AN$15),"",ReferenceData!$AN$15),"")</f>
        <v>53811</v>
      </c>
      <c r="AO15">
        <f ca="1">IFERROR(IF(0=LEN(ReferenceData!$AO$15),"",ReferenceData!$AO$15),"")</f>
        <v>47932</v>
      </c>
      <c r="AP15">
        <f ca="1">IFERROR(IF(0=LEN(ReferenceData!$AP$15),"",ReferenceData!$AP$15),"")</f>
        <v>49073</v>
      </c>
      <c r="AQ15">
        <f ca="1">IFERROR(IF(0=LEN(ReferenceData!$AQ$15),"",ReferenceData!$AQ$15),"")</f>
        <v>50169</v>
      </c>
      <c r="AR15">
        <f ca="1">IFERROR(IF(0=LEN(ReferenceData!$AR$15),"",ReferenceData!$AR$15),"")</f>
        <v>51594</v>
      </c>
      <c r="AS15">
        <f ca="1">IFERROR(IF(0=LEN(ReferenceData!$AS$15),"",ReferenceData!$AS$15),"")</f>
        <v>49264</v>
      </c>
      <c r="AT15">
        <f ca="1">IFERROR(IF(0=LEN(ReferenceData!$AT$15),"",ReferenceData!$AT$15),"")</f>
        <v>49252</v>
      </c>
      <c r="AU15">
        <f ca="1">IFERROR(IF(0=LEN(ReferenceData!$AU$15),"",ReferenceData!$AU$15),"")</f>
        <v>48826</v>
      </c>
      <c r="AV15">
        <f ca="1">IFERROR(IF(0=LEN(ReferenceData!$AV$15),"",ReferenceData!$AV$15),"")</f>
        <v>47849</v>
      </c>
      <c r="AW15">
        <f ca="1">IFERROR(IF(0=LEN(ReferenceData!$AW$15),"",ReferenceData!$AW$15),"")</f>
        <v>47271</v>
      </c>
      <c r="AX15">
        <f ca="1">IFERROR(IF(0=LEN(ReferenceData!$AX$15),"",ReferenceData!$AX$15),"")</f>
        <v>24026</v>
      </c>
      <c r="AY15">
        <f ca="1">IFERROR(IF(0=LEN(ReferenceData!$AY$15),"",ReferenceData!$AY$15),"")</f>
        <v>4516</v>
      </c>
      <c r="AZ15">
        <f ca="1">IFERROR(IF(0=LEN(ReferenceData!$AZ$15),"",ReferenceData!$AZ$15),"")</f>
        <v>6</v>
      </c>
      <c r="BA15">
        <f ca="1">IFERROR(IF(0=LEN(ReferenceData!$BA$15),"",ReferenceData!$BA$15),"")</f>
        <v>7</v>
      </c>
      <c r="BB15">
        <f ca="1">IFERROR(IF(0=LEN(ReferenceData!$BB$15),"",ReferenceData!$BB$15),"")</f>
        <v>7</v>
      </c>
      <c r="BC15">
        <f ca="1">IFERROR(IF(0=LEN(ReferenceData!$BC$15),"",ReferenceData!$BC$15),"")</f>
        <v>9</v>
      </c>
      <c r="BD15">
        <f ca="1">IFERROR(IF(0=LEN(ReferenceData!$BD$15),"",ReferenceData!$BD$15),"")</f>
        <v>10</v>
      </c>
      <c r="BE15">
        <f ca="1">IFERROR(IF(0=LEN(ReferenceData!$BE$15),"",ReferenceData!$BE$15),"")</f>
        <v>11</v>
      </c>
      <c r="BF15">
        <f ca="1">IFERROR(IF(0=LEN(ReferenceData!$BF$15),"",ReferenceData!$BF$15),"")</f>
        <v>12</v>
      </c>
      <c r="BG15">
        <f ca="1">IFERROR(IF(0=LEN(ReferenceData!$BG$15),"",ReferenceData!$BG$15),"")</f>
        <v>13</v>
      </c>
      <c r="BH15">
        <f ca="1">IFERROR(IF(0=LEN(ReferenceData!$BH$15),"",ReferenceData!$BH$15),"")</f>
        <v>15</v>
      </c>
      <c r="BI15">
        <f ca="1">IFERROR(IF(0=LEN(ReferenceData!$BI$15),"",ReferenceData!$BI$15),"")</f>
        <v>16</v>
      </c>
      <c r="BJ15">
        <f ca="1">IFERROR(IF(0=LEN(ReferenceData!$BJ$15),"",ReferenceData!$BJ$15),"")</f>
        <v>18</v>
      </c>
      <c r="BK15">
        <f ca="1">IFERROR(IF(0=LEN(ReferenceData!$BK$15),"",ReferenceData!$BK$15),"")</f>
        <v>19</v>
      </c>
      <c r="BL15">
        <f ca="1">IFERROR(IF(0=LEN(ReferenceData!$BL$15),"",ReferenceData!$BL$15),"")</f>
        <v>21</v>
      </c>
      <c r="BM15" t="str">
        <f ca="1">IFERROR(IF(0=LEN(ReferenceData!$BM$15),"",ReferenceData!$BM$15),"")</f>
        <v/>
      </c>
    </row>
    <row r="16" spans="1:65" x14ac:dyDescent="0.25">
      <c r="A16" t="str">
        <f>IFERROR(IF(0=LEN(ReferenceData!$A$16),"",ReferenceData!$A$16),"")</f>
        <v xml:space="preserve">                KeyCorp</v>
      </c>
      <c r="B16" t="str">
        <f>IFERROR(IF(0=LEN(ReferenceData!$B$16),"",ReferenceData!$B$16),"")</f>
        <v>KEY US Equity</v>
      </c>
      <c r="C16" t="str">
        <f>IFERROR(IF(0=LEN(ReferenceData!$C$16),"",ReferenceData!$C$16),"")</f>
        <v>FC470</v>
      </c>
      <c r="D16" t="str">
        <f>IFERROR(IF(0=LEN(ReferenceData!$D$16),"",ReferenceData!$D$16),"")</f>
        <v>FDIC_SECS_HELD_TO_MTY_BOOK_VAL</v>
      </c>
      <c r="E16" t="str">
        <f>IFERROR(IF(0=LEN(ReferenceData!$E$16),"",ReferenceData!$E$16),"")</f>
        <v>Dynamic</v>
      </c>
      <c r="F16">
        <f ca="1">IFERROR(IF(0=LEN(ReferenceData!$F$16),"",ReferenceData!$F$16),"")</f>
        <v>7395.09</v>
      </c>
      <c r="G16">
        <f ca="1">IFERROR(IF(0=LEN(ReferenceData!$G$16),"",ReferenceData!$G$16),"")</f>
        <v>7702.2749999999996</v>
      </c>
      <c r="H16">
        <f ca="1">IFERROR(IF(0=LEN(ReferenceData!$H$16),"",ReferenceData!$H$16),"")</f>
        <v>7967.558</v>
      </c>
      <c r="I16">
        <f ca="1">IFERROR(IF(0=LEN(ReferenceData!$I$16),"",ReferenceData!$I$16),"")</f>
        <v>8271.6219999999994</v>
      </c>
      <c r="J16">
        <f ca="1">IFERROR(IF(0=LEN(ReferenceData!$J$16),"",ReferenceData!$J$16),"")</f>
        <v>8575.2510000000002</v>
      </c>
      <c r="K16">
        <f ca="1">IFERROR(IF(0=LEN(ReferenceData!$K$16),"",ReferenceData!$K$16),"")</f>
        <v>8853.4429999999993</v>
      </c>
      <c r="L16">
        <f ca="1">IFERROR(IF(0=LEN(ReferenceData!$L$16),"",ReferenceData!$L$16),"")</f>
        <v>9188.58</v>
      </c>
      <c r="M16">
        <f ca="1">IFERROR(IF(0=LEN(ReferenceData!$M$16),"",ReferenceData!$M$16),"")</f>
        <v>9560.7839999999997</v>
      </c>
      <c r="N16">
        <f ca="1">IFERROR(IF(0=LEN(ReferenceData!$N$16),"",ReferenceData!$N$16),"")</f>
        <v>8709.9150000000009</v>
      </c>
      <c r="O16">
        <f ca="1">IFERROR(IF(0=LEN(ReferenceData!$O$16),"",ReferenceData!$O$16),"")</f>
        <v>8163.4549999999999</v>
      </c>
      <c r="P16">
        <f ca="1">IFERROR(IF(0=LEN(ReferenceData!$P$16),"",ReferenceData!$P$16),"")</f>
        <v>8185.857</v>
      </c>
      <c r="Q16">
        <f ca="1">IFERROR(IF(0=LEN(ReferenceData!$Q$16),"",ReferenceData!$Q$16),"")</f>
        <v>6871.116</v>
      </c>
      <c r="R16">
        <f ca="1">IFERROR(IF(0=LEN(ReferenceData!$R$16),"",ReferenceData!$R$16),"")</f>
        <v>7539.4219999999996</v>
      </c>
      <c r="S16">
        <f ca="1">IFERROR(IF(0=LEN(ReferenceData!$S$16),"",ReferenceData!$S$16),"")</f>
        <v>8423.009</v>
      </c>
      <c r="T16">
        <f ca="1">IFERROR(IF(0=LEN(ReferenceData!$T$16),"",ReferenceData!$T$16),"")</f>
        <v>6174.7049999999999</v>
      </c>
      <c r="U16">
        <f ca="1">IFERROR(IF(0=LEN(ReferenceData!$U$16),"",ReferenceData!$U$16),"")</f>
        <v>6857.3779999999997</v>
      </c>
      <c r="V16">
        <f ca="1">IFERROR(IF(0=LEN(ReferenceData!$V$16),"",ReferenceData!$V$16),"")</f>
        <v>7595.3490000000002</v>
      </c>
      <c r="W16">
        <f ca="1">IFERROR(IF(0=LEN(ReferenceData!$W$16),"",ReferenceData!$W$16),"")</f>
        <v>8384.2810000000009</v>
      </c>
      <c r="X16">
        <f ca="1">IFERROR(IF(0=LEN(ReferenceData!$X$16),"",ReferenceData!$X$16),"")</f>
        <v>9075.4660000000003</v>
      </c>
      <c r="Y16">
        <f ca="1">IFERROR(IF(0=LEN(ReferenceData!$Y$16),"",ReferenceData!$Y$16),"")</f>
        <v>9638.2060000000001</v>
      </c>
      <c r="Z16">
        <f ca="1">IFERROR(IF(0=LEN(ReferenceData!$Z$16),"",ReferenceData!$Z$16),"")</f>
        <v>10067.222</v>
      </c>
      <c r="AA16">
        <f ca="1">IFERROR(IF(0=LEN(ReferenceData!$AA$16),"",ReferenceData!$AA$16),"")</f>
        <v>10489.898999999999</v>
      </c>
      <c r="AB16">
        <f ca="1">IFERROR(IF(0=LEN(ReferenceData!$AB$16),"",ReferenceData!$AB$16),"")</f>
        <v>10878.138999999999</v>
      </c>
      <c r="AC16">
        <f ca="1">IFERROR(IF(0=LEN(ReferenceData!$AC$16),"",ReferenceData!$AC$16),"")</f>
        <v>11234.192999999999</v>
      </c>
      <c r="AD16">
        <f ca="1">IFERROR(IF(0=LEN(ReferenceData!$AD$16),"",ReferenceData!$AD$16),"")</f>
        <v>11519.187</v>
      </c>
      <c r="AE16">
        <f ca="1">IFERROR(IF(0=LEN(ReferenceData!$AE$16),"",ReferenceData!$AE$16),"")</f>
        <v>11869.79</v>
      </c>
      <c r="AF16">
        <f ca="1">IFERROR(IF(0=LEN(ReferenceData!$AF$16),"",ReferenceData!$AF$16),"")</f>
        <v>12277.550999999999</v>
      </c>
      <c r="AG16">
        <f ca="1">IFERROR(IF(0=LEN(ReferenceData!$AG$16),"",ReferenceData!$AG$16),"")</f>
        <v>12190.031000000001</v>
      </c>
      <c r="AH16">
        <f ca="1">IFERROR(IF(0=LEN(ReferenceData!$AH$16),"",ReferenceData!$AH$16),"")</f>
        <v>11831.529</v>
      </c>
      <c r="AI16">
        <f ca="1">IFERROR(IF(0=LEN(ReferenceData!$AI$16),"",ReferenceData!$AI$16),"")</f>
        <v>10276.668</v>
      </c>
      <c r="AJ16">
        <f ca="1">IFERROR(IF(0=LEN(ReferenceData!$AJ$16),"",ReferenceData!$AJ$16),"")</f>
        <v>10638.865</v>
      </c>
      <c r="AK16">
        <f ca="1">IFERROR(IF(0=LEN(ReferenceData!$AK$16),"",ReferenceData!$AK$16),"")</f>
        <v>10187.23</v>
      </c>
      <c r="AL16">
        <f ca="1">IFERROR(IF(0=LEN(ReferenceData!$AL$16),"",ReferenceData!$AL$16),"")</f>
        <v>10232.642</v>
      </c>
      <c r="AM16">
        <f ca="1">IFERROR(IF(0=LEN(ReferenceData!$AM$16),"",ReferenceData!$AM$16),"")</f>
        <v>8995.7070000000003</v>
      </c>
      <c r="AN16">
        <f ca="1">IFERROR(IF(0=LEN(ReferenceData!$AN$16),"",ReferenceData!$AN$16),"")</f>
        <v>4832.6189999999997</v>
      </c>
      <c r="AO16">
        <f ca="1">IFERROR(IF(0=LEN(ReferenceData!$AO$16),"",ReferenceData!$AO$16),"")</f>
        <v>5004.3980000000001</v>
      </c>
      <c r="AP16">
        <f ca="1">IFERROR(IF(0=LEN(ReferenceData!$AP$16),"",ReferenceData!$AP$16),"")</f>
        <v>4898.0590000000002</v>
      </c>
      <c r="AQ16">
        <f ca="1">IFERROR(IF(0=LEN(ReferenceData!$AQ$16),"",ReferenceData!$AQ$16),"")</f>
        <v>4936.9369999999999</v>
      </c>
      <c r="AR16">
        <f ca="1">IFERROR(IF(0=LEN(ReferenceData!$AR$16),"",ReferenceData!$AR$16),"")</f>
        <v>5022.9530000000004</v>
      </c>
      <c r="AS16">
        <f ca="1">IFERROR(IF(0=LEN(ReferenceData!$AS$16),"",ReferenceData!$AS$16),"")</f>
        <v>5005.7879999999996</v>
      </c>
      <c r="AT16">
        <f ca="1">IFERROR(IF(0=LEN(ReferenceData!$AT$16),"",ReferenceData!$AT$16),"")</f>
        <v>5015.8680000000004</v>
      </c>
      <c r="AU16">
        <f ca="1">IFERROR(IF(0=LEN(ReferenceData!$AU$16),"",ReferenceData!$AU$16),"")</f>
        <v>4998.1809999999996</v>
      </c>
      <c r="AV16">
        <f ca="1">IFERROR(IF(0=LEN(ReferenceData!$AV$16),"",ReferenceData!$AV$16),"")</f>
        <v>5233.0640000000003</v>
      </c>
      <c r="AW16">
        <f ca="1">IFERROR(IF(0=LEN(ReferenceData!$AW$16),"",ReferenceData!$AW$16),"")</f>
        <v>4825.8850000000002</v>
      </c>
      <c r="AX16">
        <f ca="1">IFERROR(IF(0=LEN(ReferenceData!$AX$16),"",ReferenceData!$AX$16),"")</f>
        <v>4755.8190000000004</v>
      </c>
      <c r="AY16">
        <f ca="1">IFERROR(IF(0=LEN(ReferenceData!$AY$16),"",ReferenceData!$AY$16),"")</f>
        <v>4835.1989999999996</v>
      </c>
      <c r="AZ16">
        <f ca="1">IFERROR(IF(0=LEN(ReferenceData!$AZ$16),"",ReferenceData!$AZ$16),"")</f>
        <v>4749.9250000000002</v>
      </c>
      <c r="BA16">
        <f ca="1">IFERROR(IF(0=LEN(ReferenceData!$BA$16),"",ReferenceData!$BA$16),"")</f>
        <v>3721.1559999999999</v>
      </c>
      <c r="BB16">
        <f ca="1">IFERROR(IF(0=LEN(ReferenceData!$BB$16),"",ReferenceData!$BB$16),"")</f>
        <v>3930.6729999999998</v>
      </c>
      <c r="BC16">
        <f ca="1">IFERROR(IF(0=LEN(ReferenceData!$BC$16),"",ReferenceData!$BC$16),"")</f>
        <v>4152.8429999999998</v>
      </c>
      <c r="BD16">
        <f ca="1">IFERROR(IF(0=LEN(ReferenceData!$BD$16),"",ReferenceData!$BD$16),"")</f>
        <v>4352.2690000000002</v>
      </c>
      <c r="BE16">
        <f ca="1">IFERROR(IF(0=LEN(ReferenceData!$BE$16),"",ReferenceData!$BE$16),"")</f>
        <v>3018.7350000000001</v>
      </c>
      <c r="BF16">
        <f ca="1">IFERROR(IF(0=LEN(ReferenceData!$BF$16),"",ReferenceData!$BF$16),"")</f>
        <v>2109.2379999999998</v>
      </c>
      <c r="BG16">
        <f ca="1">IFERROR(IF(0=LEN(ReferenceData!$BG$16),"",ReferenceData!$BG$16),"")</f>
        <v>1176.0820000000001</v>
      </c>
      <c r="BH16">
        <f ca="1">IFERROR(IF(0=LEN(ReferenceData!$BH$16),"",ReferenceData!$BH$16),"")</f>
        <v>18.995999999999999</v>
      </c>
      <c r="BI16">
        <f ca="1">IFERROR(IF(0=LEN(ReferenceData!$BI$16),"",ReferenceData!$BI$16),"")</f>
        <v>18.995999999999999</v>
      </c>
      <c r="BJ16">
        <f ca="1">IFERROR(IF(0=LEN(ReferenceData!$BJ$16),"",ReferenceData!$BJ$16),"")</f>
        <v>17.074999999999999</v>
      </c>
      <c r="BK16">
        <f ca="1">IFERROR(IF(0=LEN(ReferenceData!$BK$16),"",ReferenceData!$BK$16),"")</f>
        <v>18.385999999999999</v>
      </c>
      <c r="BL16">
        <f ca="1">IFERROR(IF(0=LEN(ReferenceData!$BL$16),"",ReferenceData!$BL$16),"")</f>
        <v>18.815999999999999</v>
      </c>
      <c r="BM16" t="str">
        <f ca="1">IFERROR(IF(0=LEN(ReferenceData!$BM$16),"",ReferenceData!$BM$16),"")</f>
        <v/>
      </c>
    </row>
    <row r="17" spans="1:65" x14ac:dyDescent="0.25">
      <c r="A17" t="str">
        <f>IFERROR(IF(0=LEN(ReferenceData!$A$17),"",ReferenceData!$A$17),"")</f>
        <v xml:space="preserve">                M&amp;T Bank Corp</v>
      </c>
      <c r="B17" t="str">
        <f>IFERROR(IF(0=LEN(ReferenceData!$B$17),"",ReferenceData!$B$17),"")</f>
        <v>MTB US Equity</v>
      </c>
      <c r="C17" t="str">
        <f>IFERROR(IF(0=LEN(ReferenceData!$C$17),"",ReferenceData!$C$17),"")</f>
        <v>FC470</v>
      </c>
      <c r="D17" t="str">
        <f>IFERROR(IF(0=LEN(ReferenceData!$D$17),"",ReferenceData!$D$17),"")</f>
        <v>FDIC_SECS_HELD_TO_MTY_BOOK_VAL</v>
      </c>
      <c r="E17" t="str">
        <f>IFERROR(IF(0=LEN(ReferenceData!$E$17),"",ReferenceData!$E$17),"")</f>
        <v>Dynamic</v>
      </c>
      <c r="F17">
        <f ca="1">IFERROR(IF(0=LEN(ReferenceData!$F$17),"",ReferenceData!$F$17),"")</f>
        <v>14197.498</v>
      </c>
      <c r="G17">
        <f ca="1">IFERROR(IF(0=LEN(ReferenceData!$G$17),"",ReferenceData!$G$17),"")</f>
        <v>14505.436</v>
      </c>
      <c r="H17">
        <f ca="1">IFERROR(IF(0=LEN(ReferenceData!$H$17),"",ReferenceData!$H$17),"")</f>
        <v>14795.119000000001</v>
      </c>
      <c r="I17">
        <f ca="1">IFERROR(IF(0=LEN(ReferenceData!$I$17),"",ReferenceData!$I$17),"")</f>
        <v>15080.07</v>
      </c>
      <c r="J17">
        <f ca="1">IFERROR(IF(0=LEN(ReferenceData!$J$17),"",ReferenceData!$J$17),"")</f>
        <v>15331.963</v>
      </c>
      <c r="K17">
        <f ca="1">IFERROR(IF(0=LEN(ReferenceData!$K$17),"",ReferenceData!$K$17),"")</f>
        <v>15573.12</v>
      </c>
      <c r="L17">
        <f ca="1">IFERROR(IF(0=LEN(ReferenceData!$L$17),"",ReferenceData!$L$17),"")</f>
        <v>15920.106</v>
      </c>
      <c r="M17">
        <f ca="1">IFERROR(IF(0=LEN(ReferenceData!$M$17),"",ReferenceData!$M$17),"")</f>
        <v>16203.571</v>
      </c>
      <c r="N17">
        <f ca="1">IFERROR(IF(0=LEN(ReferenceData!$N$17),"",ReferenceData!$N$17),"")</f>
        <v>13531.968999999999</v>
      </c>
      <c r="O17">
        <f ca="1">IFERROR(IF(0=LEN(ReferenceData!$O$17),"",ReferenceData!$O$17),"")</f>
        <v>12900.861999999999</v>
      </c>
      <c r="P17">
        <f ca="1">IFERROR(IF(0=LEN(ReferenceData!$P$17),"",ReferenceData!$P$17),"")</f>
        <v>13375.171</v>
      </c>
      <c r="Q17">
        <f ca="1">IFERROR(IF(0=LEN(ReferenceData!$Q$17),"",ReferenceData!$Q$17),"")</f>
        <v>3180.6260000000002</v>
      </c>
      <c r="R17">
        <f ca="1">IFERROR(IF(0=LEN(ReferenceData!$R$17),"",ReferenceData!$R$17),"")</f>
        <v>2734.674</v>
      </c>
      <c r="S17">
        <f ca="1">IFERROR(IF(0=LEN(ReferenceData!$S$17),"",ReferenceData!$S$17),"")</f>
        <v>2359.7269999999999</v>
      </c>
      <c r="T17">
        <f ca="1">IFERROR(IF(0=LEN(ReferenceData!$T$17),"",ReferenceData!$T$17),"")</f>
        <v>1718.1980000000001</v>
      </c>
      <c r="U17">
        <f ca="1">IFERROR(IF(0=LEN(ReferenceData!$U$17),"",ReferenceData!$U$17),"")</f>
        <v>1778.135</v>
      </c>
      <c r="V17">
        <f ca="1">IFERROR(IF(0=LEN(ReferenceData!$V$17),"",ReferenceData!$V$17),"")</f>
        <v>1748.989</v>
      </c>
      <c r="W17">
        <f ca="1">IFERROR(IF(0=LEN(ReferenceData!$W$17),"",ReferenceData!$W$17),"")</f>
        <v>1938.694</v>
      </c>
      <c r="X17">
        <f ca="1">IFERROR(IF(0=LEN(ReferenceData!$X$17),"",ReferenceData!$X$17),"")</f>
        <v>2158.982</v>
      </c>
      <c r="Y17">
        <f ca="1">IFERROR(IF(0=LEN(ReferenceData!$Y$17),"",ReferenceData!$Y$17),"")</f>
        <v>2300.6419999999998</v>
      </c>
      <c r="Z17">
        <f ca="1">IFERROR(IF(0=LEN(ReferenceData!$Z$17),"",ReferenceData!$Z$17),"")</f>
        <v>2656.9169999999999</v>
      </c>
      <c r="AA17">
        <f ca="1">IFERROR(IF(0=LEN(ReferenceData!$AA$17),"",ReferenceData!$AA$17),"")</f>
        <v>3031.299</v>
      </c>
      <c r="AB17">
        <f ca="1">IFERROR(IF(0=LEN(ReferenceData!$AB$17),"",ReferenceData!$AB$17),"")</f>
        <v>3604.2330000000002</v>
      </c>
      <c r="AC17">
        <f ca="1">IFERROR(IF(0=LEN(ReferenceData!$AC$17),"",ReferenceData!$AC$17),"")</f>
        <v>3714.6990000000001</v>
      </c>
      <c r="AD17">
        <f ca="1">IFERROR(IF(0=LEN(ReferenceData!$AD$17),"",ReferenceData!$AD$17),"")</f>
        <v>3316.64</v>
      </c>
      <c r="AE17">
        <f ca="1">IFERROR(IF(0=LEN(ReferenceData!$AE$17),"",ReferenceData!$AE$17),"")</f>
        <v>3418.7190000000001</v>
      </c>
      <c r="AF17">
        <f ca="1">IFERROR(IF(0=LEN(ReferenceData!$AF$17),"",ReferenceData!$AF$17),"")</f>
        <v>3101.0949999999998</v>
      </c>
      <c r="AG17">
        <f ca="1">IFERROR(IF(0=LEN(ReferenceData!$AG$17),"",ReferenceData!$AG$17),"")</f>
        <v>3228.7559999999999</v>
      </c>
      <c r="AH17">
        <f ca="1">IFERROR(IF(0=LEN(ReferenceData!$AH$17),"",ReferenceData!$AH$17),"")</f>
        <v>3353.2130000000002</v>
      </c>
      <c r="AI17">
        <f ca="1">IFERROR(IF(0=LEN(ReferenceData!$AI$17),"",ReferenceData!$AI$17),"")</f>
        <v>3242.1239999999998</v>
      </c>
      <c r="AJ17">
        <f ca="1">IFERROR(IF(0=LEN(ReferenceData!$AJ$17),"",ReferenceData!$AJ$17),"")</f>
        <v>3388.268</v>
      </c>
      <c r="AK17">
        <f ca="1">IFERROR(IF(0=LEN(ReferenceData!$AK$17),"",ReferenceData!$AK$17),"")</f>
        <v>2876.1190000000001</v>
      </c>
      <c r="AL17">
        <f ca="1">IFERROR(IF(0=LEN(ReferenceData!$AL$17),"",ReferenceData!$AL$17),"")</f>
        <v>2457.2779999999998</v>
      </c>
      <c r="AM17">
        <f ca="1">IFERROR(IF(0=LEN(ReferenceData!$AM$17),"",ReferenceData!$AM$17),"")</f>
        <v>2409.9499999999998</v>
      </c>
      <c r="AN17">
        <f ca="1">IFERROR(IF(0=LEN(ReferenceData!$AN$17),"",ReferenceData!$AN$17),"")</f>
        <v>2574.4209999999998</v>
      </c>
      <c r="AO17">
        <f ca="1">IFERROR(IF(0=LEN(ReferenceData!$AO$17),"",ReferenceData!$AO$17),"")</f>
        <v>2730.6109999999999</v>
      </c>
      <c r="AP17">
        <f ca="1">IFERROR(IF(0=LEN(ReferenceData!$AP$17),"",ReferenceData!$AP$17),"")</f>
        <v>2859.7089999999998</v>
      </c>
      <c r="AQ17">
        <f ca="1">IFERROR(IF(0=LEN(ReferenceData!$AQ$17),"",ReferenceData!$AQ$17),"")</f>
        <v>2998.4859999999999</v>
      </c>
      <c r="AR17">
        <f ca="1">IFERROR(IF(0=LEN(ReferenceData!$AR$17),"",ReferenceData!$AR$17),"")</f>
        <v>3164.585</v>
      </c>
      <c r="AS17">
        <f ca="1">IFERROR(IF(0=LEN(ReferenceData!$AS$17),"",ReferenceData!$AS$17),"")</f>
        <v>3360.8119999999999</v>
      </c>
      <c r="AT17">
        <f ca="1">IFERROR(IF(0=LEN(ReferenceData!$AT$17),"",ReferenceData!$AT$17),"")</f>
        <v>3507.8679999999999</v>
      </c>
      <c r="AU17">
        <f ca="1">IFERROR(IF(0=LEN(ReferenceData!$AU$17),"",ReferenceData!$AU$17),"")</f>
        <v>3635.8150000000001</v>
      </c>
      <c r="AV17">
        <f ca="1">IFERROR(IF(0=LEN(ReferenceData!$AV$17),"",ReferenceData!$AV$17),"")</f>
        <v>3760.665</v>
      </c>
      <c r="AW17">
        <f ca="1">IFERROR(IF(0=LEN(ReferenceData!$AW$17),"",ReferenceData!$AW$17),"")</f>
        <v>3873.9850000000001</v>
      </c>
      <c r="AX17">
        <f ca="1">IFERROR(IF(0=LEN(ReferenceData!$AX$17),"",ReferenceData!$AX$17),"")</f>
        <v>3966.13</v>
      </c>
      <c r="AY17">
        <f ca="1">IFERROR(IF(0=LEN(ReferenceData!$AY$17),"",ReferenceData!$AY$17),"")</f>
        <v>3319.114</v>
      </c>
      <c r="AZ17">
        <f ca="1">IFERROR(IF(0=LEN(ReferenceData!$AZ$17),"",ReferenceData!$AZ$17),"")</f>
        <v>1819.691</v>
      </c>
      <c r="BA17">
        <f ca="1">IFERROR(IF(0=LEN(ReferenceData!$BA$17),"",ReferenceData!$BA$17),"")</f>
        <v>959.19899999999996</v>
      </c>
      <c r="BB17">
        <f ca="1">IFERROR(IF(0=LEN(ReferenceData!$BB$17),"",ReferenceData!$BB$17),"")</f>
        <v>1032.2760000000001</v>
      </c>
      <c r="BC17">
        <f ca="1">IFERROR(IF(0=LEN(ReferenceData!$BC$17),"",ReferenceData!$BC$17),"")</f>
        <v>1121.325</v>
      </c>
      <c r="BD17">
        <f ca="1">IFERROR(IF(0=LEN(ReferenceData!$BD$17),"",ReferenceData!$BD$17),"")</f>
        <v>1188.4649999999999</v>
      </c>
      <c r="BE17">
        <f ca="1">IFERROR(IF(0=LEN(ReferenceData!$BE$17),"",ReferenceData!$BE$17),"")</f>
        <v>1000.294</v>
      </c>
      <c r="BF17">
        <f ca="1">IFERROR(IF(0=LEN(ReferenceData!$BF$17),"",ReferenceData!$BF$17),"")</f>
        <v>1077.7080000000001</v>
      </c>
      <c r="BG17">
        <f ca="1">IFERROR(IF(0=LEN(ReferenceData!$BG$17),"",ReferenceData!$BG$17),"")</f>
        <v>1161.837</v>
      </c>
      <c r="BH17">
        <f ca="1">IFERROR(IF(0=LEN(ReferenceData!$BH$17),"",ReferenceData!$BH$17),"")</f>
        <v>1219.6859999999999</v>
      </c>
      <c r="BI17">
        <f ca="1">IFERROR(IF(0=LEN(ReferenceData!$BI$17),"",ReferenceData!$BI$17),"")</f>
        <v>1262.0889999999999</v>
      </c>
      <c r="BJ17">
        <f ca="1">IFERROR(IF(0=LEN(ReferenceData!$BJ$17),"",ReferenceData!$BJ$17),"")</f>
        <v>1324.3389999999999</v>
      </c>
      <c r="BK17">
        <f ca="1">IFERROR(IF(0=LEN(ReferenceData!$BK$17),"",ReferenceData!$BK$17),"")</f>
        <v>1425.7170000000001</v>
      </c>
      <c r="BL17">
        <f ca="1">IFERROR(IF(0=LEN(ReferenceData!$BL$17),"",ReferenceData!$BL$17),"")</f>
        <v>1481.5409999999999</v>
      </c>
      <c r="BM17" t="str">
        <f ca="1">IFERROR(IF(0=LEN(ReferenceData!$BM$17),"",ReferenceData!$BM$17),"")</f>
        <v/>
      </c>
    </row>
    <row r="18" spans="1:65" x14ac:dyDescent="0.25">
      <c r="A18" t="str">
        <f>IFERROR(IF(0=LEN(ReferenceData!$A$18),"",ReferenceData!$A$18),"")</f>
        <v xml:space="preserve">                PNC Financial Services Group I</v>
      </c>
      <c r="B18" t="str">
        <f>IFERROR(IF(0=LEN(ReferenceData!$B$18),"",ReferenceData!$B$18),"")</f>
        <v>PNC US Equity</v>
      </c>
      <c r="C18" t="str">
        <f>IFERROR(IF(0=LEN(ReferenceData!$C$18),"",ReferenceData!$C$18),"")</f>
        <v>FC470</v>
      </c>
      <c r="D18" t="str">
        <f>IFERROR(IF(0=LEN(ReferenceData!$D$18),"",ReferenceData!$D$18),"")</f>
        <v>FDIC_SECS_HELD_TO_MTY_BOOK_VAL</v>
      </c>
      <c r="E18" t="str">
        <f>IFERROR(IF(0=LEN(ReferenceData!$E$18),"",ReferenceData!$E$18),"")</f>
        <v>Dynamic</v>
      </c>
      <c r="F18" t="str">
        <f ca="1">IFERROR(IF(0=LEN(ReferenceData!$F$18),"",ReferenceData!$F$18),"")</f>
        <v/>
      </c>
      <c r="G18" t="str">
        <f ca="1">IFERROR(IF(0=LEN(ReferenceData!$G$18),"",ReferenceData!$G$18),"")</f>
        <v/>
      </c>
      <c r="H18">
        <f ca="1">IFERROR(IF(0=LEN(ReferenceData!$H$18),"",ReferenceData!$H$18),"")</f>
        <v>87461.873000000007</v>
      </c>
      <c r="I18">
        <f ca="1">IFERROR(IF(0=LEN(ReferenceData!$I$18),"",ReferenceData!$I$18),"")</f>
        <v>88184.75</v>
      </c>
      <c r="J18">
        <f ca="1">IFERROR(IF(0=LEN(ReferenceData!$J$18),"",ReferenceData!$J$18),"")</f>
        <v>90789.845000000001</v>
      </c>
      <c r="K18">
        <f ca="1">IFERROR(IF(0=LEN(ReferenceData!$K$18),"",ReferenceData!$K$18),"")</f>
        <v>91803.187000000005</v>
      </c>
      <c r="L18">
        <f ca="1">IFERROR(IF(0=LEN(ReferenceData!$L$18),"",ReferenceData!$L$18),"")</f>
        <v>93879.448000000004</v>
      </c>
      <c r="M18">
        <f ca="1">IFERROR(IF(0=LEN(ReferenceData!$M$18),"",ReferenceData!$M$18),"")</f>
        <v>95025.202999999994</v>
      </c>
      <c r="N18">
        <f ca="1">IFERROR(IF(0=LEN(ReferenceData!$N$18),"",ReferenceData!$N$18),"")</f>
        <v>95182.766000000003</v>
      </c>
      <c r="O18">
        <f ca="1">IFERROR(IF(0=LEN(ReferenceData!$O$18),"",ReferenceData!$O$18),"")</f>
        <v>90659.995999999999</v>
      </c>
      <c r="P18">
        <f ca="1">IFERROR(IF(0=LEN(ReferenceData!$P$18),"",ReferenceData!$P$18),"")</f>
        <v>79752.633000000002</v>
      </c>
      <c r="Q18">
        <f ca="1">IFERROR(IF(0=LEN(ReferenceData!$Q$18),"",ReferenceData!$Q$18),"")</f>
        <v>20101.071</v>
      </c>
      <c r="R18">
        <f ca="1">IFERROR(IF(0=LEN(ReferenceData!$R$18),"",ReferenceData!$R$18),"")</f>
        <v>1429.364</v>
      </c>
      <c r="S18">
        <f ca="1">IFERROR(IF(0=LEN(ReferenceData!$S$18),"",ReferenceData!$S$18),"")</f>
        <v>1482.1780000000001</v>
      </c>
      <c r="T18">
        <f ca="1">IFERROR(IF(0=LEN(ReferenceData!$T$18),"",ReferenceData!$T$18),"")</f>
        <v>1488.635</v>
      </c>
      <c r="U18">
        <f ca="1">IFERROR(IF(0=LEN(ReferenceData!$U$18),"",ReferenceData!$U$18),"")</f>
        <v>1459.211</v>
      </c>
      <c r="V18">
        <f ca="1">IFERROR(IF(0=LEN(ReferenceData!$V$18),"",ReferenceData!$V$18),"")</f>
        <v>1444.7080000000001</v>
      </c>
      <c r="W18">
        <f ca="1">IFERROR(IF(0=LEN(ReferenceData!$W$18),"",ReferenceData!$W$18),"")</f>
        <v>1441.5930000000001</v>
      </c>
      <c r="X18">
        <f ca="1">IFERROR(IF(0=LEN(ReferenceData!$X$18),"",ReferenceData!$X$18),"")</f>
        <v>1443.2380000000001</v>
      </c>
      <c r="Y18">
        <f ca="1">IFERROR(IF(0=LEN(ReferenceData!$Y$18),"",ReferenceData!$Y$18),"")</f>
        <v>1470.212</v>
      </c>
      <c r="Z18">
        <f ca="1">IFERROR(IF(0=LEN(ReferenceData!$Z$18),"",ReferenceData!$Z$18),"")</f>
        <v>17660.919999999998</v>
      </c>
      <c r="AA18">
        <f ca="1">IFERROR(IF(0=LEN(ReferenceData!$AA$18),"",ReferenceData!$AA$18),"")</f>
        <v>18826.030999999999</v>
      </c>
      <c r="AB18">
        <f ca="1">IFERROR(IF(0=LEN(ReferenceData!$AB$18),"",ReferenceData!$AB$18),"")</f>
        <v>18948.210999999999</v>
      </c>
      <c r="AC18">
        <f ca="1">IFERROR(IF(0=LEN(ReferenceData!$AC$18),"",ReferenceData!$AC$18),"")</f>
        <v>18817.686000000002</v>
      </c>
      <c r="AD18">
        <f ca="1">IFERROR(IF(0=LEN(ReferenceData!$AD$18),"",ReferenceData!$AD$18),"")</f>
        <v>19312.402999999998</v>
      </c>
      <c r="AE18">
        <f ca="1">IFERROR(IF(0=LEN(ReferenceData!$AE$18),"",ReferenceData!$AE$18),"")</f>
        <v>19593.225999999999</v>
      </c>
      <c r="AF18">
        <f ca="1">IFERROR(IF(0=LEN(ReferenceData!$AF$18),"",ReferenceData!$AF$18),"")</f>
        <v>19850.013999999999</v>
      </c>
      <c r="AG18">
        <f ca="1">IFERROR(IF(0=LEN(ReferenceData!$AG$18),"",ReferenceData!$AG$18),"")</f>
        <v>18543.986000000001</v>
      </c>
      <c r="AH18">
        <f ca="1">IFERROR(IF(0=LEN(ReferenceData!$AH$18),"",ReferenceData!$AH$18),"")</f>
        <v>18513.631000000001</v>
      </c>
      <c r="AI18">
        <f ca="1">IFERROR(IF(0=LEN(ReferenceData!$AI$18),"",ReferenceData!$AI$18),"")</f>
        <v>17740.485000000001</v>
      </c>
      <c r="AJ18">
        <f ca="1">IFERROR(IF(0=LEN(ReferenceData!$AJ$18),"",ReferenceData!$AJ$18),"")</f>
        <v>17552.57</v>
      </c>
      <c r="AK18">
        <f ca="1">IFERROR(IF(0=LEN(ReferenceData!$AK$18),"",ReferenceData!$AK$18),"")</f>
        <v>17092.489000000001</v>
      </c>
      <c r="AL18">
        <f ca="1">IFERROR(IF(0=LEN(ReferenceData!$AL$18),"",ReferenceData!$AL$18),"")</f>
        <v>15843.073</v>
      </c>
      <c r="AM18">
        <f ca="1">IFERROR(IF(0=LEN(ReferenceData!$AM$18),"",ReferenceData!$AM$18),"")</f>
        <v>16573.081999999999</v>
      </c>
      <c r="AN18">
        <f ca="1">IFERROR(IF(0=LEN(ReferenceData!$AN$18),"",ReferenceData!$AN$18),"")</f>
        <v>14917.199000000001</v>
      </c>
      <c r="AO18">
        <f ca="1">IFERROR(IF(0=LEN(ReferenceData!$AO$18),"",ReferenceData!$AO$18),"")</f>
        <v>15154.11</v>
      </c>
      <c r="AP18">
        <f ca="1">IFERROR(IF(0=LEN(ReferenceData!$AP$18),"",ReferenceData!$AP$18),"")</f>
        <v>14768.321</v>
      </c>
      <c r="AQ18">
        <f ca="1">IFERROR(IF(0=LEN(ReferenceData!$AQ$18),"",ReferenceData!$AQ$18),"")</f>
        <v>14403.12</v>
      </c>
      <c r="AR18">
        <f ca="1">IFERROR(IF(0=LEN(ReferenceData!$AR$18),"",ReferenceData!$AR$18),"")</f>
        <v>13682.545</v>
      </c>
      <c r="AS18">
        <f ca="1">IFERROR(IF(0=LEN(ReferenceData!$AS$18),"",ReferenceData!$AS$18),"")</f>
        <v>13188.308999999999</v>
      </c>
      <c r="AT18">
        <f ca="1">IFERROR(IF(0=LEN(ReferenceData!$AT$18),"",ReferenceData!$AT$18),"")</f>
        <v>11588.146000000001</v>
      </c>
      <c r="AU18">
        <f ca="1">IFERROR(IF(0=LEN(ReferenceData!$AU$18),"",ReferenceData!$AU$18),"")</f>
        <v>11418.699000000001</v>
      </c>
      <c r="AV18">
        <f ca="1">IFERROR(IF(0=LEN(ReferenceData!$AV$18),"",ReferenceData!$AV$18),"")</f>
        <v>12083.483</v>
      </c>
      <c r="AW18">
        <f ca="1">IFERROR(IF(0=LEN(ReferenceData!$AW$18),"",ReferenceData!$AW$18),"")</f>
        <v>11160.791999999999</v>
      </c>
      <c r="AX18">
        <f ca="1">IFERROR(IF(0=LEN(ReferenceData!$AX$18),"",ReferenceData!$AX$18),"")</f>
        <v>11686.509</v>
      </c>
      <c r="AY18">
        <f ca="1">IFERROR(IF(0=LEN(ReferenceData!$AY$18),"",ReferenceData!$AY$18),"")</f>
        <v>11498.491</v>
      </c>
      <c r="AZ18">
        <f ca="1">IFERROR(IF(0=LEN(ReferenceData!$AZ$18),"",ReferenceData!$AZ$18),"")</f>
        <v>9550.1710000000003</v>
      </c>
      <c r="BA18">
        <f ca="1">IFERROR(IF(0=LEN(ReferenceData!$BA$18),"",ReferenceData!$BA$18),"")</f>
        <v>9824.6080000000002</v>
      </c>
      <c r="BB18">
        <f ca="1">IFERROR(IF(0=LEN(ReferenceData!$BB$18),"",ReferenceData!$BB$18),"")</f>
        <v>10353.817999999999</v>
      </c>
      <c r="BC18">
        <f ca="1">IFERROR(IF(0=LEN(ReferenceData!$BC$18),"",ReferenceData!$BC$18),"")</f>
        <v>10681.127</v>
      </c>
      <c r="BD18">
        <f ca="1">IFERROR(IF(0=LEN(ReferenceData!$BD$18),"",ReferenceData!$BD$18),"")</f>
        <v>10685.644</v>
      </c>
      <c r="BE18">
        <f ca="1">IFERROR(IF(0=LEN(ReferenceData!$BE$18),"",ReferenceData!$BE$18),"")</f>
        <v>11196.415000000001</v>
      </c>
      <c r="BF18">
        <f ca="1">IFERROR(IF(0=LEN(ReferenceData!$BF$18),"",ReferenceData!$BF$18),"")</f>
        <v>12065.743</v>
      </c>
      <c r="BG18">
        <f ca="1">IFERROR(IF(0=LEN(ReferenceData!$BG$18),"",ReferenceData!$BG$18),"")</f>
        <v>12389.945</v>
      </c>
      <c r="BH18">
        <f ca="1">IFERROR(IF(0=LEN(ReferenceData!$BH$18),"",ReferenceData!$BH$18),"")</f>
        <v>9746.9490000000005</v>
      </c>
      <c r="BI18">
        <f ca="1">IFERROR(IF(0=LEN(ReferenceData!$BI$18),"",ReferenceData!$BI$18),"")</f>
        <v>6465.58</v>
      </c>
      <c r="BJ18">
        <f ca="1">IFERROR(IF(0=LEN(ReferenceData!$BJ$18),"",ReferenceData!$BJ$18),"")</f>
        <v>6951.4610000000002</v>
      </c>
      <c r="BK18">
        <f ca="1">IFERROR(IF(0=LEN(ReferenceData!$BK$18),"",ReferenceData!$BK$18),"")</f>
        <v>7410.8069999999998</v>
      </c>
      <c r="BL18">
        <f ca="1">IFERROR(IF(0=LEN(ReferenceData!$BL$18),"",ReferenceData!$BL$18),"")</f>
        <v>7867.3950000000004</v>
      </c>
      <c r="BM18">
        <f ca="1">IFERROR(IF(0=LEN(ReferenceData!$BM$18),"",ReferenceData!$BM$18),"")</f>
        <v>8064.8990000000003</v>
      </c>
    </row>
    <row r="19" spans="1:65" x14ac:dyDescent="0.25">
      <c r="A19" t="str">
        <f>IFERROR(IF(0=LEN(ReferenceData!$A$19),"",ReferenceData!$A$19),"")</f>
        <v xml:space="preserve">                Regions Financial Corp</v>
      </c>
      <c r="B19" t="str">
        <f>IFERROR(IF(0=LEN(ReferenceData!$B$19),"",ReferenceData!$B$19),"")</f>
        <v>RF US Equity</v>
      </c>
      <c r="C19" t="str">
        <f>IFERROR(IF(0=LEN(ReferenceData!$C$19),"",ReferenceData!$C$19),"")</f>
        <v>FC470</v>
      </c>
      <c r="D19" t="str">
        <f>IFERROR(IF(0=LEN(ReferenceData!$D$19),"",ReferenceData!$D$19),"")</f>
        <v>FDIC_SECS_HELD_TO_MTY_BOOK_VAL</v>
      </c>
      <c r="E19" t="str">
        <f>IFERROR(IF(0=LEN(ReferenceData!$E$19),"",ReferenceData!$E$19),"")</f>
        <v>Dynamic</v>
      </c>
      <c r="F19" t="str">
        <f ca="1">IFERROR(IF(0=LEN(ReferenceData!$F$19),"",ReferenceData!$F$19),"")</f>
        <v/>
      </c>
      <c r="G19">
        <f ca="1">IFERROR(IF(0=LEN(ReferenceData!$G$19),"",ReferenceData!$G$19),"")</f>
        <v>2787</v>
      </c>
      <c r="H19">
        <f ca="1">IFERROR(IF(0=LEN(ReferenceData!$H$19),"",ReferenceData!$H$19),"")</f>
        <v>733</v>
      </c>
      <c r="I19">
        <f ca="1">IFERROR(IF(0=LEN(ReferenceData!$I$19),"",ReferenceData!$I$19),"")</f>
        <v>743</v>
      </c>
      <c r="J19">
        <f ca="1">IFERROR(IF(0=LEN(ReferenceData!$J$19),"",ReferenceData!$J$19),"")</f>
        <v>754</v>
      </c>
      <c r="K19">
        <f ca="1">IFERROR(IF(0=LEN(ReferenceData!$K$19),"",ReferenceData!$K$19),"")</f>
        <v>763</v>
      </c>
      <c r="L19">
        <f ca="1">IFERROR(IF(0=LEN(ReferenceData!$L$19),"",ReferenceData!$L$19),"")</f>
        <v>777</v>
      </c>
      <c r="M19">
        <f ca="1">IFERROR(IF(0=LEN(ReferenceData!$M$19),"",ReferenceData!$M$19),"")</f>
        <v>790</v>
      </c>
      <c r="N19">
        <f ca="1">IFERROR(IF(0=LEN(ReferenceData!$N$19),"",ReferenceData!$N$19),"")</f>
        <v>801</v>
      </c>
      <c r="O19">
        <f ca="1">IFERROR(IF(0=LEN(ReferenceData!$O$19),"",ReferenceData!$O$19),"")</f>
        <v>817</v>
      </c>
      <c r="P19">
        <f ca="1">IFERROR(IF(0=LEN(ReferenceData!$P$19),"",ReferenceData!$P$19),"")</f>
        <v>836</v>
      </c>
      <c r="Q19">
        <f ca="1">IFERROR(IF(0=LEN(ReferenceData!$Q$19),"",ReferenceData!$Q$19),"")</f>
        <v>864</v>
      </c>
      <c r="R19">
        <f ca="1">IFERROR(IF(0=LEN(ReferenceData!$R$19),"",ReferenceData!$R$19),"")</f>
        <v>899</v>
      </c>
      <c r="S19">
        <f ca="1">IFERROR(IF(0=LEN(ReferenceData!$S$19),"",ReferenceData!$S$19),"")</f>
        <v>945</v>
      </c>
      <c r="T19">
        <f ca="1">IFERROR(IF(0=LEN(ReferenceData!$T$19),"",ReferenceData!$T$19),"")</f>
        <v>993</v>
      </c>
      <c r="U19">
        <f ca="1">IFERROR(IF(0=LEN(ReferenceData!$U$19),"",ReferenceData!$U$19),"")</f>
        <v>1059</v>
      </c>
      <c r="V19">
        <f ca="1">IFERROR(IF(0=LEN(ReferenceData!$V$19),"",ReferenceData!$V$19),"")</f>
        <v>1122</v>
      </c>
      <c r="W19">
        <f ca="1">IFERROR(IF(0=LEN(ReferenceData!$W$19),"",ReferenceData!$W$19),"")</f>
        <v>1190</v>
      </c>
      <c r="X19">
        <f ca="1">IFERROR(IF(0=LEN(ReferenceData!$X$19),"",ReferenceData!$X$19),"")</f>
        <v>1255</v>
      </c>
      <c r="Y19">
        <f ca="1">IFERROR(IF(0=LEN(ReferenceData!$Y$19),"",ReferenceData!$Y$19),"")</f>
        <v>1296</v>
      </c>
      <c r="Z19">
        <f ca="1">IFERROR(IF(0=LEN(ReferenceData!$Z$19),"",ReferenceData!$Z$19),"")</f>
        <v>1332</v>
      </c>
      <c r="AA19">
        <f ca="1">IFERROR(IF(0=LEN(ReferenceData!$AA$19),"",ReferenceData!$AA$19),"")</f>
        <v>1375</v>
      </c>
      <c r="AB19">
        <f ca="1">IFERROR(IF(0=LEN(ReferenceData!$AB$19),"",ReferenceData!$AB$19),"")</f>
        <v>1415</v>
      </c>
      <c r="AC19">
        <f ca="1">IFERROR(IF(0=LEN(ReferenceData!$AC$19),"",ReferenceData!$AC$19),"")</f>
        <v>1451</v>
      </c>
      <c r="AD19">
        <f ca="1">IFERROR(IF(0=LEN(ReferenceData!$AD$19),"",ReferenceData!$AD$19),"")</f>
        <v>1481.5329999999999</v>
      </c>
      <c r="AE19">
        <f ca="1">IFERROR(IF(0=LEN(ReferenceData!$AE$19),"",ReferenceData!$AE$19),"")</f>
        <v>1523.72</v>
      </c>
      <c r="AF19">
        <f ca="1">IFERROR(IF(0=LEN(ReferenceData!$AF$19),"",ReferenceData!$AF$19),"")</f>
        <v>1567.8530000000001</v>
      </c>
      <c r="AG19">
        <f ca="1">IFERROR(IF(0=LEN(ReferenceData!$AG$19),"",ReferenceData!$AG$19),"")</f>
        <v>1611.241</v>
      </c>
      <c r="AH19">
        <f ca="1">IFERROR(IF(0=LEN(ReferenceData!$AH$19),"",ReferenceData!$AH$19),"")</f>
        <v>1657.961</v>
      </c>
      <c r="AI19">
        <f ca="1">IFERROR(IF(0=LEN(ReferenceData!$AI$19),"",ReferenceData!$AI$19),"")</f>
        <v>1702.751</v>
      </c>
      <c r="AJ19">
        <f ca="1">IFERROR(IF(0=LEN(ReferenceData!$AJ$19),"",ReferenceData!$AJ$19),"")</f>
        <v>1754.278</v>
      </c>
      <c r="AK19">
        <f ca="1">IFERROR(IF(0=LEN(ReferenceData!$AK$19),"",ReferenceData!$AK$19),"")</f>
        <v>1777.5340000000001</v>
      </c>
      <c r="AL19">
        <f ca="1">IFERROR(IF(0=LEN(ReferenceData!$AL$19),"",ReferenceData!$AL$19),"")</f>
        <v>1362.3130000000001</v>
      </c>
      <c r="AM19">
        <f ca="1">IFERROR(IF(0=LEN(ReferenceData!$AM$19),"",ReferenceData!$AM$19),"")</f>
        <v>1431.298</v>
      </c>
      <c r="AN19">
        <f ca="1">IFERROR(IF(0=LEN(ReferenceData!$AN$19),"",ReferenceData!$AN$19),"")</f>
        <v>1646.0160000000001</v>
      </c>
      <c r="AO19">
        <f ca="1">IFERROR(IF(0=LEN(ReferenceData!$AO$19),"",ReferenceData!$AO$19),"")</f>
        <v>1900.5889999999999</v>
      </c>
      <c r="AP19">
        <f ca="1">IFERROR(IF(0=LEN(ReferenceData!$AP$19),"",ReferenceData!$AP$19),"")</f>
        <v>1945.8820000000001</v>
      </c>
      <c r="AQ19">
        <f ca="1">IFERROR(IF(0=LEN(ReferenceData!$AQ$19),"",ReferenceData!$AQ$19),"")</f>
        <v>2000.482</v>
      </c>
      <c r="AR19">
        <f ca="1">IFERROR(IF(0=LEN(ReferenceData!$AR$19),"",ReferenceData!$AR$19),"")</f>
        <v>2066.7809999999999</v>
      </c>
      <c r="AS19">
        <f ca="1">IFERROR(IF(0=LEN(ReferenceData!$AS$19),"",ReferenceData!$AS$19),"")</f>
        <v>2128.855</v>
      </c>
      <c r="AT19">
        <f ca="1">IFERROR(IF(0=LEN(ReferenceData!$AT$19),"",ReferenceData!$AT$19),"")</f>
        <v>2174.5790000000002</v>
      </c>
      <c r="AU19">
        <f ca="1">IFERROR(IF(0=LEN(ReferenceData!$AU$19),"",ReferenceData!$AU$19),"")</f>
        <v>2222.19</v>
      </c>
      <c r="AV19">
        <f ca="1">IFERROR(IF(0=LEN(ReferenceData!$AV$19),"",ReferenceData!$AV$19),"")</f>
        <v>2274.5219999999999</v>
      </c>
      <c r="AW19">
        <f ca="1">IFERROR(IF(0=LEN(ReferenceData!$AW$19),"",ReferenceData!$AW$19),"")</f>
        <v>2317.1210000000001</v>
      </c>
      <c r="AX19">
        <f ca="1">IFERROR(IF(0=LEN(ReferenceData!$AX$19),"",ReferenceData!$AX$19),"")</f>
        <v>2352.9580000000001</v>
      </c>
      <c r="AY19">
        <f ca="1">IFERROR(IF(0=LEN(ReferenceData!$AY$19),"",ReferenceData!$AY$19),"")</f>
        <v>2387.9119999999998</v>
      </c>
      <c r="AZ19">
        <f ca="1">IFERROR(IF(0=LEN(ReferenceData!$AZ$19),"",ReferenceData!$AZ$19),"")</f>
        <v>2425.2719999999999</v>
      </c>
      <c r="BA19">
        <f ca="1">IFERROR(IF(0=LEN(ReferenceData!$BA$19),"",ReferenceData!$BA$19),"")</f>
        <v>8.3719999999999999</v>
      </c>
      <c r="BB19">
        <f ca="1">IFERROR(IF(0=LEN(ReferenceData!$BB$19),"",ReferenceData!$BB$19),"")</f>
        <v>10.333</v>
      </c>
      <c r="BC19">
        <f ca="1">IFERROR(IF(0=LEN(ReferenceData!$BC$19),"",ReferenceData!$BC$19),"")</f>
        <v>11.837999999999999</v>
      </c>
      <c r="BD19">
        <f ca="1">IFERROR(IF(0=LEN(ReferenceData!$BD$19),"",ReferenceData!$BD$19),"")</f>
        <v>13.478999999999999</v>
      </c>
      <c r="BE19">
        <f ca="1">IFERROR(IF(0=LEN(ReferenceData!$BE$19),"",ReferenceData!$BE$19),"")</f>
        <v>15.084</v>
      </c>
      <c r="BF19">
        <f ca="1">IFERROR(IF(0=LEN(ReferenceData!$BF$19),"",ReferenceData!$BF$19),"")</f>
        <v>15.760999999999999</v>
      </c>
      <c r="BG19">
        <f ca="1">IFERROR(IF(0=LEN(ReferenceData!$BG$19),"",ReferenceData!$BG$19),"")</f>
        <v>17.568999999999999</v>
      </c>
      <c r="BH19">
        <f ca="1">IFERROR(IF(0=LEN(ReferenceData!$BH$19),"",ReferenceData!$BH$19),"")</f>
        <v>20.454000000000001</v>
      </c>
      <c r="BI19">
        <f ca="1">IFERROR(IF(0=LEN(ReferenceData!$BI$19),"",ReferenceData!$BI$19),"")</f>
        <v>21.9</v>
      </c>
      <c r="BJ19">
        <f ca="1">IFERROR(IF(0=LEN(ReferenceData!$BJ$19),"",ReferenceData!$BJ$19),"")</f>
        <v>24.448</v>
      </c>
      <c r="BK19">
        <f ca="1">IFERROR(IF(0=LEN(ReferenceData!$BK$19),"",ReferenceData!$BK$19),"")</f>
        <v>26.288</v>
      </c>
      <c r="BL19">
        <f ca="1">IFERROR(IF(0=LEN(ReferenceData!$BL$19),"",ReferenceData!$BL$19),"")</f>
        <v>27.861999999999998</v>
      </c>
      <c r="BM19">
        <f ca="1">IFERROR(IF(0=LEN(ReferenceData!$BM$19),"",ReferenceData!$BM$19),"")</f>
        <v>29.536999999999999</v>
      </c>
    </row>
    <row r="20" spans="1:65" x14ac:dyDescent="0.25">
      <c r="A20" t="str">
        <f>IFERROR(IF(0=LEN(ReferenceData!$A$20),"",ReferenceData!$A$20),"")</f>
        <v xml:space="preserve">                Truist Financial Corp</v>
      </c>
      <c r="B20" t="str">
        <f>IFERROR(IF(0=LEN(ReferenceData!$B$20),"",ReferenceData!$B$20),"")</f>
        <v>TFC US Equity</v>
      </c>
      <c r="C20" t="str">
        <f>IFERROR(IF(0=LEN(ReferenceData!$C$20),"",ReferenceData!$C$20),"")</f>
        <v>FC470</v>
      </c>
      <c r="D20" t="str">
        <f>IFERROR(IF(0=LEN(ReferenceData!$D$20),"",ReferenceData!$D$20),"")</f>
        <v>FDIC_SECS_HELD_TO_MTY_BOOK_VAL</v>
      </c>
      <c r="E20" t="str">
        <f>IFERROR(IF(0=LEN(ReferenceData!$E$20),"",ReferenceData!$E$20),"")</f>
        <v>Dynamic</v>
      </c>
      <c r="F20">
        <f ca="1">IFERROR(IF(0=LEN(ReferenceData!$F$20),"",ReferenceData!$F$20),"")</f>
        <v>50640</v>
      </c>
      <c r="G20">
        <f ca="1">IFERROR(IF(0=LEN(ReferenceData!$G$20),"",ReferenceData!$G$20),"")</f>
        <v>51495</v>
      </c>
      <c r="H20">
        <f ca="1">IFERROR(IF(0=LEN(ReferenceData!$H$20),"",ReferenceData!$H$20),"")</f>
        <v>52447</v>
      </c>
      <c r="I20">
        <f ca="1">IFERROR(IF(0=LEN(ReferenceData!$I$20),"",ReferenceData!$I$20),"")</f>
        <v>53369</v>
      </c>
      <c r="J20">
        <f ca="1">IFERROR(IF(0=LEN(ReferenceData!$J$20),"",ReferenceData!$J$20),"")</f>
        <v>54107</v>
      </c>
      <c r="K20">
        <f ca="1">IFERROR(IF(0=LEN(ReferenceData!$K$20),"",ReferenceData!$K$20),"")</f>
        <v>54942</v>
      </c>
      <c r="L20">
        <f ca="1">IFERROR(IF(0=LEN(ReferenceData!$L$20),"",ReferenceData!$L$20),"")</f>
        <v>55958</v>
      </c>
      <c r="M20">
        <f ca="1">IFERROR(IF(0=LEN(ReferenceData!$M$20),"",ReferenceData!$M$20),"")</f>
        <v>56932</v>
      </c>
      <c r="N20">
        <f ca="1">IFERROR(IF(0=LEN(ReferenceData!$N$20),"",ReferenceData!$N$20),"")</f>
        <v>57713</v>
      </c>
      <c r="O20">
        <f ca="1">IFERROR(IF(0=LEN(ReferenceData!$O$20),"",ReferenceData!$O$20),"")</f>
        <v>58754</v>
      </c>
      <c r="P20">
        <f ca="1">IFERROR(IF(0=LEN(ReferenceData!$P$20),"",ReferenceData!$P$20),"")</f>
        <v>60081</v>
      </c>
      <c r="Q20">
        <f ca="1">IFERROR(IF(0=LEN(ReferenceData!$Q$20),"",ReferenceData!$Q$20),"")</f>
        <v>61662</v>
      </c>
      <c r="R20">
        <f ca="1">IFERROR(IF(0=LEN(ReferenceData!$R$20),"",ReferenceData!$R$20),"")</f>
        <v>1494</v>
      </c>
      <c r="S20">
        <f ca="1">IFERROR(IF(0=LEN(ReferenceData!$S$20),"",ReferenceData!$S$20),"")</f>
        <v>0</v>
      </c>
      <c r="T20">
        <f ca="1">IFERROR(IF(0=LEN(ReferenceData!$T$20),"",ReferenceData!$T$20),"")</f>
        <v>0</v>
      </c>
      <c r="U20">
        <f ca="1">IFERROR(IF(0=LEN(ReferenceData!$U$20),"",ReferenceData!$U$20),"")</f>
        <v>0</v>
      </c>
      <c r="V20">
        <f ca="1">IFERROR(IF(0=LEN(ReferenceData!$V$20),"",ReferenceData!$V$20),"")</f>
        <v>0</v>
      </c>
      <c r="W20">
        <f ca="1">IFERROR(IF(0=LEN(ReferenceData!$W$20),"",ReferenceData!$W$20),"")</f>
        <v>0</v>
      </c>
      <c r="X20">
        <f ca="1">IFERROR(IF(0=LEN(ReferenceData!$X$20),"",ReferenceData!$X$20),"")</f>
        <v>0</v>
      </c>
      <c r="Y20">
        <f ca="1">IFERROR(IF(0=LEN(ReferenceData!$Y$20),"",ReferenceData!$Y$20),"")</f>
        <v>0</v>
      </c>
      <c r="Z20">
        <f ca="1">IFERROR(IF(0=LEN(ReferenceData!$Z$20),"",ReferenceData!$Z$20),"")</f>
        <v>0</v>
      </c>
      <c r="AA20">
        <f ca="1">IFERROR(IF(0=LEN(ReferenceData!$AA$20),"",ReferenceData!$AA$20),"")</f>
        <v>18768</v>
      </c>
      <c r="AB20">
        <f ca="1">IFERROR(IF(0=LEN(ReferenceData!$AB$20),"",ReferenceData!$AB$20),"")</f>
        <v>19487</v>
      </c>
      <c r="AC20">
        <f ca="1">IFERROR(IF(0=LEN(ReferenceData!$AC$20),"",ReferenceData!$AC$20),"")</f>
        <v>20095</v>
      </c>
      <c r="AD20">
        <f ca="1">IFERROR(IF(0=LEN(ReferenceData!$AD$20),"",ReferenceData!$AD$20),"")</f>
        <v>20552</v>
      </c>
      <c r="AE20">
        <f ca="1">IFERROR(IF(0=LEN(ReferenceData!$AE$20),"",ReferenceData!$AE$20),"")</f>
        <v>21082</v>
      </c>
      <c r="AF20">
        <f ca="1">IFERROR(IF(0=LEN(ReferenceData!$AF$20),"",ReferenceData!$AF$20),"")</f>
        <v>21749</v>
      </c>
      <c r="AG20">
        <f ca="1">IFERROR(IF(0=LEN(ReferenceData!$AG$20),"",ReferenceData!$AG$20),"")</f>
        <v>22390</v>
      </c>
      <c r="AH20">
        <f ca="1">IFERROR(IF(0=LEN(ReferenceData!$AH$20),"",ReferenceData!$AH$20),"")</f>
        <v>23027</v>
      </c>
      <c r="AI20">
        <f ca="1">IFERROR(IF(0=LEN(ReferenceData!$AI$20),"",ReferenceData!$AI$20),"")</f>
        <v>23447</v>
      </c>
      <c r="AJ20">
        <f ca="1">IFERROR(IF(0=LEN(ReferenceData!$AJ$20),"",ReferenceData!$AJ$20),"")</f>
        <v>18384</v>
      </c>
      <c r="AK20">
        <f ca="1">IFERROR(IF(0=LEN(ReferenceData!$AK$20),"",ReferenceData!$AK$20),"")</f>
        <v>18209.5</v>
      </c>
      <c r="AL20">
        <f ca="1">IFERROR(IF(0=LEN(ReferenceData!$AL$20),"",ReferenceData!$AL$20),"")</f>
        <v>16679.595000000001</v>
      </c>
      <c r="AM20">
        <f ca="1">IFERROR(IF(0=LEN(ReferenceData!$AM$20),"",ReferenceData!$AM$20),"")</f>
        <v>17749.830999999998</v>
      </c>
      <c r="AN20">
        <f ca="1">IFERROR(IF(0=LEN(ReferenceData!$AN$20),"",ReferenceData!$AN$20),"")</f>
        <v>18761.692999999999</v>
      </c>
      <c r="AO20">
        <f ca="1">IFERROR(IF(0=LEN(ReferenceData!$AO$20),"",ReferenceData!$AO$20),"")</f>
        <v>19350.903999999999</v>
      </c>
      <c r="AP20">
        <f ca="1">IFERROR(IF(0=LEN(ReferenceData!$AP$20),"",ReferenceData!$AP$20),"")</f>
        <v>18529.738000000001</v>
      </c>
      <c r="AQ20">
        <f ca="1">IFERROR(IF(0=LEN(ReferenceData!$AQ$20),"",ReferenceData!$AQ$20),"")</f>
        <v>19244.716</v>
      </c>
      <c r="AR20">
        <f ca="1">IFERROR(IF(0=LEN(ReferenceData!$AR$20),"",ReferenceData!$AR$20),"")</f>
        <v>19436.981</v>
      </c>
      <c r="AS20">
        <f ca="1">IFERROR(IF(0=LEN(ReferenceData!$AS$20),"",ReferenceData!$AS$20),"")</f>
        <v>20414.718000000001</v>
      </c>
      <c r="AT20">
        <f ca="1">IFERROR(IF(0=LEN(ReferenceData!$AT$20),"",ReferenceData!$AT$20),"")</f>
        <v>20240.143</v>
      </c>
      <c r="AU20">
        <f ca="1">IFERROR(IF(0=LEN(ReferenceData!$AU$20),"",ReferenceData!$AU$20),"")</f>
        <v>20717.439999999999</v>
      </c>
      <c r="AV20">
        <f ca="1">IFERROR(IF(0=LEN(ReferenceData!$AV$20),"",ReferenceData!$AV$20),"")</f>
        <v>20432.314999999999</v>
      </c>
      <c r="AW20">
        <f ca="1">IFERROR(IF(0=LEN(ReferenceData!$AW$20),"",ReferenceData!$AW$20),"")</f>
        <v>20812.093000000001</v>
      </c>
      <c r="AX20">
        <f ca="1">IFERROR(IF(0=LEN(ReferenceData!$AX$20),"",ReferenceData!$AX$20),"")</f>
        <v>18100.495999999999</v>
      </c>
      <c r="AY20">
        <f ca="1">IFERROR(IF(0=LEN(ReferenceData!$AY$20),"",ReferenceData!$AY$20),"")</f>
        <v>13529.209000000001</v>
      </c>
      <c r="AZ20">
        <f ca="1">IFERROR(IF(0=LEN(ReferenceData!$AZ$20),"",ReferenceData!$AZ$20),"")</f>
        <v>13750.557000000001</v>
      </c>
      <c r="BA20">
        <f ca="1">IFERROR(IF(0=LEN(ReferenceData!$BA$20),"",ReferenceData!$BA$20),"")</f>
        <v>13118.647999999999</v>
      </c>
      <c r="BB20">
        <f ca="1">IFERROR(IF(0=LEN(ReferenceData!$BB$20),"",ReferenceData!$BB$20),"")</f>
        <v>13594.239</v>
      </c>
      <c r="BC20">
        <f ca="1">IFERROR(IF(0=LEN(ReferenceData!$BC$20),"",ReferenceData!$BC$20),"")</f>
        <v>13139.575000000001</v>
      </c>
      <c r="BD20">
        <f ca="1">IFERROR(IF(0=LEN(ReferenceData!$BD$20),"",ReferenceData!$BD$20),"")</f>
        <v>12576.239</v>
      </c>
      <c r="BE20">
        <f ca="1">IFERROR(IF(0=LEN(ReferenceData!$BE$20),"",ReferenceData!$BE$20),"")</f>
        <v>13484.81</v>
      </c>
      <c r="BF20">
        <f ca="1">IFERROR(IF(0=LEN(ReferenceData!$BF$20),"",ReferenceData!$BF$20),"")</f>
        <v>14093.571</v>
      </c>
      <c r="BG20">
        <f ca="1">IFERROR(IF(0=LEN(ReferenceData!$BG$20),"",ReferenceData!$BG$20),"")</f>
        <v>8135.4520000000002</v>
      </c>
      <c r="BH20">
        <f ca="1">IFERROR(IF(0=LEN(ReferenceData!$BH$20),"",ReferenceData!$BH$20),"")</f>
        <v>8552.8230000000003</v>
      </c>
      <c r="BI20">
        <f ca="1">IFERROR(IF(0=LEN(ReferenceData!$BI$20),"",ReferenceData!$BI$20),"")</f>
        <v>8332.5640000000003</v>
      </c>
      <c r="BJ20">
        <f ca="1">IFERROR(IF(0=LEN(ReferenceData!$BJ$20),"",ReferenceData!$BJ$20),"")</f>
        <v>0</v>
      </c>
      <c r="BK20">
        <f ca="1">IFERROR(IF(0=LEN(ReferenceData!$BK$20),"",ReferenceData!$BK$20),"")</f>
        <v>0</v>
      </c>
      <c r="BL20">
        <f ca="1">IFERROR(IF(0=LEN(ReferenceData!$BL$20),"",ReferenceData!$BL$20),"")</f>
        <v>0</v>
      </c>
      <c r="BM20" t="str">
        <f ca="1">IFERROR(IF(0=LEN(ReferenceData!$BM$20),"",ReferenceData!$BM$20),"")</f>
        <v/>
      </c>
    </row>
    <row r="21" spans="1:65" x14ac:dyDescent="0.25">
      <c r="A21" t="str">
        <f>IFERROR(IF(0=LEN(ReferenceData!$A$21),"",ReferenceData!$A$21),"")</f>
        <v xml:space="preserve">                US Bancorp</v>
      </c>
      <c r="B21" t="str">
        <f>IFERROR(IF(0=LEN(ReferenceData!$B$21),"",ReferenceData!$B$21),"")</f>
        <v>USB US Equity</v>
      </c>
      <c r="C21" t="str">
        <f>IFERROR(IF(0=LEN(ReferenceData!$C$21),"",ReferenceData!$C$21),"")</f>
        <v>FC470</v>
      </c>
      <c r="D21" t="str">
        <f>IFERROR(IF(0=LEN(ReferenceData!$D$21),"",ReferenceData!$D$21),"")</f>
        <v>FDIC_SECS_HELD_TO_MTY_BOOK_VAL</v>
      </c>
      <c r="E21" t="str">
        <f>IFERROR(IF(0=LEN(ReferenceData!$E$21),"",ReferenceData!$E$21),"")</f>
        <v>Dynamic</v>
      </c>
      <c r="F21">
        <f ca="1">IFERROR(IF(0=LEN(ReferenceData!$F$21),"",ReferenceData!$F$21),"")</f>
        <v>78634</v>
      </c>
      <c r="G21">
        <f ca="1">IFERROR(IF(0=LEN(ReferenceData!$G$21),"",ReferenceData!$G$21),"")</f>
        <v>80025</v>
      </c>
      <c r="H21">
        <f ca="1">IFERROR(IF(0=LEN(ReferenceData!$H$21),"",ReferenceData!$H$21),"")</f>
        <v>81486</v>
      </c>
      <c r="I21">
        <f ca="1">IFERROR(IF(0=LEN(ReferenceData!$I$21),"",ReferenceData!$I$21),"")</f>
        <v>82948</v>
      </c>
      <c r="J21">
        <f ca="1">IFERROR(IF(0=LEN(ReferenceData!$J$21),"",ReferenceData!$J$21),"")</f>
        <v>84045</v>
      </c>
      <c r="K21">
        <f ca="1">IFERROR(IF(0=LEN(ReferenceData!$K$21),"",ReferenceData!$K$21),"")</f>
        <v>85342</v>
      </c>
      <c r="L21">
        <f ca="1">IFERROR(IF(0=LEN(ReferenceData!$L$21),"",ReferenceData!$L$21),"")</f>
        <v>86938</v>
      </c>
      <c r="M21">
        <f ca="1">IFERROR(IF(0=LEN(ReferenceData!$M$21),"",ReferenceData!$M$21),"")</f>
        <v>88462</v>
      </c>
      <c r="N21">
        <f ca="1">IFERROR(IF(0=LEN(ReferenceData!$N$21),"",ReferenceData!$N$21),"")</f>
        <v>88740</v>
      </c>
      <c r="O21">
        <f ca="1">IFERROR(IF(0=LEN(ReferenceData!$O$21),"",ReferenceData!$O$21),"")</f>
        <v>85574</v>
      </c>
      <c r="P21">
        <f ca="1">IFERROR(IF(0=LEN(ReferenceData!$P$21),"",ReferenceData!$P$21),"")</f>
        <v>61503</v>
      </c>
      <c r="Q21">
        <f ca="1">IFERROR(IF(0=LEN(ReferenceData!$Q$21),"",ReferenceData!$Q$21),"")</f>
        <v>43654</v>
      </c>
      <c r="R21">
        <f ca="1">IFERROR(IF(0=LEN(ReferenceData!$R$21),"",ReferenceData!$R$21),"")</f>
        <v>41858</v>
      </c>
      <c r="S21">
        <f ca="1">IFERROR(IF(0=LEN(ReferenceData!$S$21),"",ReferenceData!$S$21),"")</f>
        <v>0</v>
      </c>
      <c r="T21">
        <f ca="1">IFERROR(IF(0=LEN(ReferenceData!$T$21),"",ReferenceData!$T$21),"")</f>
        <v>0</v>
      </c>
      <c r="U21">
        <f ca="1">IFERROR(IF(0=LEN(ReferenceData!$U$21),"",ReferenceData!$U$21),"")</f>
        <v>0</v>
      </c>
      <c r="V21">
        <f ca="1">IFERROR(IF(0=LEN(ReferenceData!$V$21),"",ReferenceData!$V$21),"")</f>
        <v>0</v>
      </c>
      <c r="W21">
        <f ca="1">IFERROR(IF(0=LEN(ReferenceData!$W$21),"",ReferenceData!$W$21),"")</f>
        <v>0</v>
      </c>
      <c r="X21">
        <f ca="1">IFERROR(IF(0=LEN(ReferenceData!$X$21),"",ReferenceData!$X$21),"")</f>
        <v>0</v>
      </c>
      <c r="Y21">
        <f ca="1">IFERROR(IF(0=LEN(ReferenceData!$Y$21),"",ReferenceData!$Y$21),"")</f>
        <v>0</v>
      </c>
      <c r="Z21">
        <f ca="1">IFERROR(IF(0=LEN(ReferenceData!$Z$21),"",ReferenceData!$Z$21),"")</f>
        <v>0</v>
      </c>
      <c r="AA21">
        <f ca="1">IFERROR(IF(0=LEN(ReferenceData!$AA$21),"",ReferenceData!$AA$21),"")</f>
        <v>46481</v>
      </c>
      <c r="AB21">
        <f ca="1">IFERROR(IF(0=LEN(ReferenceData!$AB$21),"",ReferenceData!$AB$21),"")</f>
        <v>46383</v>
      </c>
      <c r="AC21">
        <f ca="1">IFERROR(IF(0=LEN(ReferenceData!$AC$21),"",ReferenceData!$AC$21),"")</f>
        <v>46285</v>
      </c>
      <c r="AD21">
        <f ca="1">IFERROR(IF(0=LEN(ReferenceData!$AD$21),"",ReferenceData!$AD$21),"")</f>
        <v>46050</v>
      </c>
      <c r="AE21">
        <f ca="1">IFERROR(IF(0=LEN(ReferenceData!$AE$21),"",ReferenceData!$AE$21),"")</f>
        <v>46046</v>
      </c>
      <c r="AF21">
        <f ca="1">IFERROR(IF(0=LEN(ReferenceData!$AF$21),"",ReferenceData!$AF$21),"")</f>
        <v>46055</v>
      </c>
      <c r="AG21">
        <f ca="1">IFERROR(IF(0=LEN(ReferenceData!$AG$21),"",ReferenceData!$AG$21),"")</f>
        <v>44612</v>
      </c>
      <c r="AH21">
        <f ca="1">IFERROR(IF(0=LEN(ReferenceData!$AH$21),"",ReferenceData!$AH$21),"")</f>
        <v>44362</v>
      </c>
      <c r="AI21">
        <f ca="1">IFERROR(IF(0=LEN(ReferenceData!$AI$21),"",ReferenceData!$AI$21),"")</f>
        <v>44018</v>
      </c>
      <c r="AJ21">
        <f ca="1">IFERROR(IF(0=LEN(ReferenceData!$AJ$21),"",ReferenceData!$AJ$21),"")</f>
        <v>43659</v>
      </c>
      <c r="AK21">
        <f ca="1">IFERROR(IF(0=LEN(ReferenceData!$AK$21),"",ReferenceData!$AK$21),"")</f>
        <v>43393</v>
      </c>
      <c r="AL21">
        <f ca="1">IFERROR(IF(0=LEN(ReferenceData!$AL$21),"",ReferenceData!$AL$21),"")</f>
        <v>42991</v>
      </c>
      <c r="AM21">
        <f ca="1">IFERROR(IF(0=LEN(ReferenceData!$AM$21),"",ReferenceData!$AM$21),"")</f>
        <v>42873</v>
      </c>
      <c r="AN21">
        <f ca="1">IFERROR(IF(0=LEN(ReferenceData!$AN$21),"",ReferenceData!$AN$21),"")</f>
        <v>42030</v>
      </c>
      <c r="AO21">
        <f ca="1">IFERROR(IF(0=LEN(ReferenceData!$AO$21),"",ReferenceData!$AO$21),"")</f>
        <v>42113</v>
      </c>
      <c r="AP21">
        <f ca="1">IFERROR(IF(0=LEN(ReferenceData!$AP$21),"",ReferenceData!$AP$21),"")</f>
        <v>43590</v>
      </c>
      <c r="AQ21">
        <f ca="1">IFERROR(IF(0=LEN(ReferenceData!$AQ$21),"",ReferenceData!$AQ$21),"")</f>
        <v>44690</v>
      </c>
      <c r="AR21">
        <f ca="1">IFERROR(IF(0=LEN(ReferenceData!$AR$21),"",ReferenceData!$AR$21),"")</f>
        <v>46233</v>
      </c>
      <c r="AS21">
        <f ca="1">IFERROR(IF(0=LEN(ReferenceData!$AS$21),"",ReferenceData!$AS$21),"")</f>
        <v>45597</v>
      </c>
      <c r="AT21">
        <f ca="1">IFERROR(IF(0=LEN(ReferenceData!$AT$21),"",ReferenceData!$AT$21),"")</f>
        <v>44974</v>
      </c>
      <c r="AU21">
        <f ca="1">IFERROR(IF(0=LEN(ReferenceData!$AU$21),"",ReferenceData!$AU$21),"")</f>
        <v>44231</v>
      </c>
      <c r="AV21">
        <f ca="1">IFERROR(IF(0=LEN(ReferenceData!$AV$21),"",ReferenceData!$AV$21),"")</f>
        <v>41995</v>
      </c>
      <c r="AW21">
        <f ca="1">IFERROR(IF(0=LEN(ReferenceData!$AW$21),"",ReferenceData!$AW$21),"")</f>
        <v>40712</v>
      </c>
      <c r="AX21">
        <f ca="1">IFERROR(IF(0=LEN(ReferenceData!$AX$21),"",ReferenceData!$AX$21),"")</f>
        <v>38920</v>
      </c>
      <c r="AY21">
        <f ca="1">IFERROR(IF(0=LEN(ReferenceData!$AY$21),"",ReferenceData!$AY$21),"")</f>
        <v>36904</v>
      </c>
      <c r="AZ21">
        <f ca="1">IFERROR(IF(0=LEN(ReferenceData!$AZ$21),"",ReferenceData!$AZ$21),"")</f>
        <v>34668</v>
      </c>
      <c r="BA21">
        <f ca="1">IFERROR(IF(0=LEN(ReferenceData!$BA$21),"",ReferenceData!$BA$21),"")</f>
        <v>34716</v>
      </c>
      <c r="BB21">
        <f ca="1">IFERROR(IF(0=LEN(ReferenceData!$BB$21),"",ReferenceData!$BB$21),"")</f>
        <v>34389</v>
      </c>
      <c r="BC21">
        <f ca="1">IFERROR(IF(0=LEN(ReferenceData!$BC$21),"",ReferenceData!$BC$21),"")</f>
        <v>34509</v>
      </c>
      <c r="BD21">
        <f ca="1">IFERROR(IF(0=LEN(ReferenceData!$BD$21),"",ReferenceData!$BD$21),"")</f>
        <v>34635</v>
      </c>
      <c r="BE21">
        <f ca="1">IFERROR(IF(0=LEN(ReferenceData!$BE$21),"",ReferenceData!$BE$21),"")</f>
        <v>21505</v>
      </c>
      <c r="BF21">
        <f ca="1">IFERROR(IF(0=LEN(ReferenceData!$BF$21),"",ReferenceData!$BF$21),"")</f>
        <v>18877</v>
      </c>
      <c r="BG21">
        <f ca="1">IFERROR(IF(0=LEN(ReferenceData!$BG$21),"",ReferenceData!$BG$21),"")</f>
        <v>16269</v>
      </c>
      <c r="BH21">
        <f ca="1">IFERROR(IF(0=LEN(ReferenceData!$BH$21),"",ReferenceData!$BH$21),"")</f>
        <v>13280</v>
      </c>
      <c r="BI21">
        <f ca="1">IFERROR(IF(0=LEN(ReferenceData!$BI$21),"",ReferenceData!$BI$21),"")</f>
        <v>8213</v>
      </c>
      <c r="BJ21">
        <f ca="1">IFERROR(IF(0=LEN(ReferenceData!$BJ$21),"",ReferenceData!$BJ$21),"")</f>
        <v>1469</v>
      </c>
      <c r="BK21">
        <f ca="1">IFERROR(IF(0=LEN(ReferenceData!$BK$21),"",ReferenceData!$BK$21),"")</f>
        <v>557</v>
      </c>
      <c r="BL21">
        <f ca="1">IFERROR(IF(0=LEN(ReferenceData!$BL$21),"",ReferenceData!$BL$21),"")</f>
        <v>590</v>
      </c>
      <c r="BM21" t="str">
        <f ca="1">IFERROR(IF(0=LEN(ReferenceData!$BM$21),"",ReferenceData!$BM$21),"")</f>
        <v/>
      </c>
    </row>
    <row r="22" spans="1:65" x14ac:dyDescent="0.25">
      <c r="A22" t="str">
        <f>IFERROR(IF(0=LEN(ReferenceData!$A$22),"",ReferenceData!$A$22),"")</f>
        <v xml:space="preserve">                Wells Fargo &amp; Co</v>
      </c>
      <c r="B22" t="str">
        <f>IFERROR(IF(0=LEN(ReferenceData!$B$22),"",ReferenceData!$B$22),"")</f>
        <v>WFC US Equity</v>
      </c>
      <c r="C22" t="str">
        <f>IFERROR(IF(0=LEN(ReferenceData!$C$22),"",ReferenceData!$C$22),"")</f>
        <v>FC470</v>
      </c>
      <c r="D22" t="str">
        <f>IFERROR(IF(0=LEN(ReferenceData!$D$22),"",ReferenceData!$D$22),"")</f>
        <v>FDIC_SECS_HELD_TO_MTY_BOOK_VAL</v>
      </c>
      <c r="E22" t="str">
        <f>IFERROR(IF(0=LEN(ReferenceData!$E$22),"",ReferenceData!$E$22),"")</f>
        <v>Dynamic</v>
      </c>
      <c r="F22">
        <f ca="1">IFERROR(IF(0=LEN(ReferenceData!$F$22),"",ReferenceData!$F$22),"")</f>
        <v>235043</v>
      </c>
      <c r="G22">
        <f ca="1">IFERROR(IF(0=LEN(ReferenceData!$G$22),"",ReferenceData!$G$22),"")</f>
        <v>243241</v>
      </c>
      <c r="H22">
        <f ca="1">IFERROR(IF(0=LEN(ReferenceData!$H$22),"",ReferenceData!$H$22),"")</f>
        <v>250833</v>
      </c>
      <c r="I22">
        <f ca="1">IFERROR(IF(0=LEN(ReferenceData!$I$22),"",ReferenceData!$I$22),"")</f>
        <v>258806</v>
      </c>
      <c r="J22">
        <f ca="1">IFERROR(IF(0=LEN(ReferenceData!$J$22),"",ReferenceData!$J$22),"")</f>
        <v>262801</v>
      </c>
      <c r="K22">
        <f ca="1">IFERROR(IF(0=LEN(ReferenceData!$K$22),"",ReferenceData!$K$22),"")</f>
        <v>267301</v>
      </c>
      <c r="L22">
        <f ca="1">IFERROR(IF(0=LEN(ReferenceData!$L$22),"",ReferenceData!$L$22),"")</f>
        <v>272436</v>
      </c>
      <c r="M22">
        <f ca="1">IFERROR(IF(0=LEN(ReferenceData!$M$22),"",ReferenceData!$M$22),"")</f>
        <v>277224</v>
      </c>
      <c r="N22">
        <f ca="1">IFERROR(IF(0=LEN(ReferenceData!$N$22),"",ReferenceData!$N$22),"")</f>
        <v>297144</v>
      </c>
      <c r="O22">
        <f ca="1">IFERROR(IF(0=LEN(ReferenceData!$O$22),"",ReferenceData!$O$22),"")</f>
        <v>300530</v>
      </c>
      <c r="P22">
        <f ca="1">IFERROR(IF(0=LEN(ReferenceData!$P$22),"",ReferenceData!$P$22),"")</f>
        <v>301866</v>
      </c>
      <c r="Q22">
        <f ca="1">IFERROR(IF(0=LEN(ReferenceData!$Q$22),"",ReferenceData!$Q$22),"")</f>
        <v>280891</v>
      </c>
      <c r="R22">
        <f ca="1">IFERROR(IF(0=LEN(ReferenceData!$R$22),"",ReferenceData!$R$22),"")</f>
        <v>272118</v>
      </c>
      <c r="S22">
        <f ca="1">IFERROR(IF(0=LEN(ReferenceData!$S$22),"",ReferenceData!$S$22),"")</f>
        <v>262567</v>
      </c>
      <c r="T22">
        <f ca="1">IFERROR(IF(0=LEN(ReferenceData!$T$22),"",ReferenceData!$T$22),"")</f>
        <v>261018</v>
      </c>
      <c r="U22">
        <f ca="1">IFERROR(IF(0=LEN(ReferenceData!$U$22),"",ReferenceData!$U$22),"")</f>
        <v>232280</v>
      </c>
      <c r="V22">
        <f ca="1">IFERROR(IF(0=LEN(ReferenceData!$V$22),"",ReferenceData!$V$22),"")</f>
        <v>205761</v>
      </c>
      <c r="W22">
        <f ca="1">IFERROR(IF(0=LEN(ReferenceData!$W$22),"",ReferenceData!$W$22),"")</f>
        <v>182621</v>
      </c>
      <c r="X22">
        <f ca="1">IFERROR(IF(0=LEN(ReferenceData!$X$22),"",ReferenceData!$X$22),"")</f>
        <v>169022</v>
      </c>
      <c r="Y22">
        <f ca="1">IFERROR(IF(0=LEN(ReferenceData!$Y$22),"",ReferenceData!$Y$22),"")</f>
        <v>169920</v>
      </c>
      <c r="Z22">
        <f ca="1">IFERROR(IF(0=LEN(ReferenceData!$Z$22),"",ReferenceData!$Z$22),"")</f>
        <v>153933</v>
      </c>
      <c r="AA22">
        <f ca="1">IFERROR(IF(0=LEN(ReferenceData!$AA$22),"",ReferenceData!$AA$22),"")</f>
        <v>153179</v>
      </c>
      <c r="AB22">
        <f ca="1">IFERROR(IF(0=LEN(ReferenceData!$AB$22),"",ReferenceData!$AB$22),"")</f>
        <v>145876</v>
      </c>
      <c r="AC22">
        <f ca="1">IFERROR(IF(0=LEN(ReferenceData!$AC$22),"",ReferenceData!$AC$22),"")</f>
        <v>144990</v>
      </c>
      <c r="AD22">
        <f ca="1">IFERROR(IF(0=LEN(ReferenceData!$AD$22),"",ReferenceData!$AD$22),"")</f>
        <v>144788</v>
      </c>
      <c r="AE22">
        <f ca="1">IFERROR(IF(0=LEN(ReferenceData!$AE$22),"",ReferenceData!$AE$22),"")</f>
        <v>144131</v>
      </c>
      <c r="AF22">
        <f ca="1">IFERROR(IF(0=LEN(ReferenceData!$AF$22),"",ReferenceData!$AF$22),"")</f>
        <v>144206</v>
      </c>
      <c r="AG22">
        <f ca="1">IFERROR(IF(0=LEN(ReferenceData!$AG$22),"",ReferenceData!$AG$22),"")</f>
        <v>141446</v>
      </c>
      <c r="AH22">
        <f ca="1">IFERROR(IF(0=LEN(ReferenceData!$AH$22),"",ReferenceData!$AH$22),"")</f>
        <v>139335</v>
      </c>
      <c r="AI22">
        <f ca="1">IFERROR(IF(0=LEN(ReferenceData!$AI$22),"",ReferenceData!$AI$22),"")</f>
        <v>142423</v>
      </c>
      <c r="AJ22">
        <f ca="1">IFERROR(IF(0=LEN(ReferenceData!$AJ$22),"",ReferenceData!$AJ$22),"")</f>
        <v>140392</v>
      </c>
      <c r="AK22">
        <f ca="1">IFERROR(IF(0=LEN(ReferenceData!$AK$22),"",ReferenceData!$AK$22),"")</f>
        <v>108030</v>
      </c>
      <c r="AL22">
        <f ca="1">IFERROR(IF(0=LEN(ReferenceData!$AL$22),"",ReferenceData!$AL$22),"")</f>
        <v>99583</v>
      </c>
      <c r="AM22">
        <f ca="1">IFERROR(IF(0=LEN(ReferenceData!$AM$22),"",ReferenceData!$AM$22),"")</f>
        <v>99241</v>
      </c>
      <c r="AN22">
        <f ca="1">IFERROR(IF(0=LEN(ReferenceData!$AN$22),"",ReferenceData!$AN$22),"")</f>
        <v>100420</v>
      </c>
      <c r="AO22">
        <f ca="1">IFERROR(IF(0=LEN(ReferenceData!$AO$22),"",ReferenceData!$AO$22),"")</f>
        <v>79348</v>
      </c>
      <c r="AP22">
        <f ca="1">IFERROR(IF(0=LEN(ReferenceData!$AP$22),"",ReferenceData!$AP$22),"")</f>
        <v>80197</v>
      </c>
      <c r="AQ22">
        <f ca="1">IFERROR(IF(0=LEN(ReferenceData!$AQ$22),"",ReferenceData!$AQ$22),"")</f>
        <v>78668</v>
      </c>
      <c r="AR22">
        <f ca="1">IFERROR(IF(0=LEN(ReferenceData!$AR$22),"",ReferenceData!$AR$22),"")</f>
        <v>80102</v>
      </c>
      <c r="AS22">
        <f ca="1">IFERROR(IF(0=LEN(ReferenceData!$AS$22),"",ReferenceData!$AS$22),"")</f>
        <v>67133</v>
      </c>
      <c r="AT22">
        <f ca="1">IFERROR(IF(0=LEN(ReferenceData!$AT$22),"",ReferenceData!$AT$22),"")</f>
        <v>55483</v>
      </c>
      <c r="AU22">
        <f ca="1">IFERROR(IF(0=LEN(ReferenceData!$AU$22),"",ReferenceData!$AU$22),"")</f>
        <v>40758</v>
      </c>
      <c r="AV22">
        <f ca="1">IFERROR(IF(0=LEN(ReferenceData!$AV$22),"",ReferenceData!$AV$22),"")</f>
        <v>30108</v>
      </c>
      <c r="AW22">
        <f ca="1">IFERROR(IF(0=LEN(ReferenceData!$AW$22),"",ReferenceData!$AW$22),"")</f>
        <v>17662</v>
      </c>
      <c r="AX22">
        <f ca="1">IFERROR(IF(0=LEN(ReferenceData!$AX$22),"",ReferenceData!$AX$22),"")</f>
        <v>12346</v>
      </c>
      <c r="AY22">
        <f ca="1">IFERROR(IF(0=LEN(ReferenceData!$AY$22),"",ReferenceData!$AY$22),"")</f>
        <v>0</v>
      </c>
      <c r="AZ22">
        <f ca="1">IFERROR(IF(0=LEN(ReferenceData!$AZ$22),"",ReferenceData!$AZ$22),"")</f>
        <v>0</v>
      </c>
      <c r="BA22">
        <f ca="1">IFERROR(IF(0=LEN(ReferenceData!$BA$22),"",ReferenceData!$BA$22),"")</f>
        <v>0</v>
      </c>
      <c r="BB22">
        <f ca="1">IFERROR(IF(0=LEN(ReferenceData!$BB$22),"",ReferenceData!$BB$22),"")</f>
        <v>0</v>
      </c>
      <c r="BC22">
        <f ca="1">IFERROR(IF(0=LEN(ReferenceData!$BC$22),"",ReferenceData!$BC$22),"")</f>
        <v>0</v>
      </c>
      <c r="BD22">
        <f ca="1">IFERROR(IF(0=LEN(ReferenceData!$BD$22),"",ReferenceData!$BD$22),"")</f>
        <v>0</v>
      </c>
      <c r="BE22">
        <f ca="1">IFERROR(IF(0=LEN(ReferenceData!$BE$22),"",ReferenceData!$BE$22),"")</f>
        <v>0</v>
      </c>
      <c r="BF22">
        <f ca="1">IFERROR(IF(0=LEN(ReferenceData!$BF$22),"",ReferenceData!$BF$22),"")</f>
        <v>0</v>
      </c>
      <c r="BG22">
        <f ca="1">IFERROR(IF(0=LEN(ReferenceData!$BG$22),"",ReferenceData!$BG$22),"")</f>
        <v>0</v>
      </c>
      <c r="BH22">
        <f ca="1">IFERROR(IF(0=LEN(ReferenceData!$BH$22),"",ReferenceData!$BH$22),"")</f>
        <v>0</v>
      </c>
      <c r="BI22">
        <f ca="1">IFERROR(IF(0=LEN(ReferenceData!$BI$22),"",ReferenceData!$BI$22),"")</f>
        <v>0</v>
      </c>
      <c r="BJ22">
        <f ca="1">IFERROR(IF(0=LEN(ReferenceData!$BJ$22),"",ReferenceData!$BJ$22),"")</f>
        <v>0</v>
      </c>
      <c r="BK22">
        <f ca="1">IFERROR(IF(0=LEN(ReferenceData!$BK$22),"",ReferenceData!$BK$22),"")</f>
        <v>0</v>
      </c>
      <c r="BL22">
        <f ca="1">IFERROR(IF(0=LEN(ReferenceData!$BL$22),"",ReferenceData!$BL$22),"")</f>
        <v>0</v>
      </c>
      <c r="BM22" t="str">
        <f ca="1">IFERROR(IF(0=LEN(ReferenceData!$BM$22),"",ReferenceData!$BM$22),"")</f>
        <v/>
      </c>
    </row>
    <row r="23" spans="1:65" x14ac:dyDescent="0.25">
      <c r="A23" t="str">
        <f>IFERROR(IF(0=LEN(ReferenceData!$A$23),"",ReferenceData!$A$23),"")</f>
        <v xml:space="preserve">                Western Alliance Bancorp</v>
      </c>
      <c r="B23" t="str">
        <f>IFERROR(IF(0=LEN(ReferenceData!$B$23),"",ReferenceData!$B$23),"")</f>
        <v>WAL US Equity</v>
      </c>
      <c r="C23" t="str">
        <f>IFERROR(IF(0=LEN(ReferenceData!$C$23),"",ReferenceData!$C$23),"")</f>
        <v>FC470</v>
      </c>
      <c r="D23" t="str">
        <f>IFERROR(IF(0=LEN(ReferenceData!$D$23),"",ReferenceData!$D$23),"")</f>
        <v>FDIC_SECS_HELD_TO_MTY_BOOK_VAL</v>
      </c>
      <c r="E23" t="str">
        <f>IFERROR(IF(0=LEN(ReferenceData!$E$23),"",ReferenceData!$E$23),"")</f>
        <v>Dynamic</v>
      </c>
      <c r="F23">
        <f ca="1">IFERROR(IF(0=LEN(ReferenceData!$F$23),"",ReferenceData!$F$23),"")</f>
        <v>1526.9069999999999</v>
      </c>
      <c r="G23">
        <f ca="1">IFERROR(IF(0=LEN(ReferenceData!$G$23),"",ReferenceData!$G$23),"")</f>
        <v>1524.598</v>
      </c>
      <c r="H23">
        <f ca="1">IFERROR(IF(0=LEN(ReferenceData!$H$23),"",ReferenceData!$H$23),"")</f>
        <v>1481.4770000000001</v>
      </c>
      <c r="I23">
        <f ca="1">IFERROR(IF(0=LEN(ReferenceData!$I$23),"",ReferenceData!$I$23),"")</f>
        <v>1461.644</v>
      </c>
      <c r="J23">
        <f ca="1">IFERROR(IF(0=LEN(ReferenceData!$J$23),"",ReferenceData!$J$23),"")</f>
        <v>1428.8630000000001</v>
      </c>
      <c r="K23">
        <f ca="1">IFERROR(IF(0=LEN(ReferenceData!$K$23),"",ReferenceData!$K$23),"")</f>
        <v>1400.9349999999999</v>
      </c>
      <c r="L23">
        <f ca="1">IFERROR(IF(0=LEN(ReferenceData!$L$23),"",ReferenceData!$L$23),"")</f>
        <v>1367.2719999999999</v>
      </c>
      <c r="M23">
        <f ca="1">IFERROR(IF(0=LEN(ReferenceData!$M$23),"",ReferenceData!$M$23),"")</f>
        <v>1325.3520000000001</v>
      </c>
      <c r="N23">
        <f ca="1">IFERROR(IF(0=LEN(ReferenceData!$N$23),"",ReferenceData!$N$23),"")</f>
        <v>1288.8620000000001</v>
      </c>
      <c r="O23">
        <f ca="1">IFERROR(IF(0=LEN(ReferenceData!$O$23),"",ReferenceData!$O$23),"")</f>
        <v>1269.6279999999999</v>
      </c>
      <c r="P23">
        <f ca="1">IFERROR(IF(0=LEN(ReferenceData!$P$23),"",ReferenceData!$P$23),"")</f>
        <v>1217.915</v>
      </c>
      <c r="Q23">
        <f ca="1">IFERROR(IF(0=LEN(ReferenceData!$Q$23),"",ReferenceData!$Q$23),"")</f>
        <v>1160.9649999999999</v>
      </c>
      <c r="R23">
        <f ca="1">IFERROR(IF(0=LEN(ReferenceData!$R$23),"",ReferenceData!$R$23),"")</f>
        <v>1107.134</v>
      </c>
      <c r="S23">
        <f ca="1">IFERROR(IF(0=LEN(ReferenceData!$S$23),"",ReferenceData!$S$23),"")</f>
        <v>1046.942</v>
      </c>
      <c r="T23">
        <f ca="1">IFERROR(IF(0=LEN(ReferenceData!$T$23),"",ReferenceData!$T$23),"")</f>
        <v>968.66899999999998</v>
      </c>
      <c r="U23">
        <f ca="1">IFERROR(IF(0=LEN(ReferenceData!$U$23),"",ReferenceData!$U$23),"")</f>
        <v>697.96799999999996</v>
      </c>
      <c r="V23">
        <f ca="1">IFERROR(IF(0=LEN(ReferenceData!$V$23),"",ReferenceData!$V$23),"")</f>
        <v>568.75900000000001</v>
      </c>
      <c r="W23">
        <f ca="1">IFERROR(IF(0=LEN(ReferenceData!$W$23),"",ReferenceData!$W$23),"")</f>
        <v>504.47699999999998</v>
      </c>
      <c r="X23">
        <f ca="1">IFERROR(IF(0=LEN(ReferenceData!$X$23),"",ReferenceData!$X$23),"")</f>
        <v>479.38</v>
      </c>
      <c r="Y23">
        <f ca="1">IFERROR(IF(0=LEN(ReferenceData!$Y$23),"",ReferenceData!$Y$23),"")</f>
        <v>483.77499999999998</v>
      </c>
      <c r="Z23">
        <f ca="1">IFERROR(IF(0=LEN(ReferenceData!$Z$23),"",ReferenceData!$Z$23),"")</f>
        <v>485.10700000000003</v>
      </c>
      <c r="AA23">
        <f ca="1">IFERROR(IF(0=LEN(ReferenceData!$AA$23),"",ReferenceData!$AA$23),"")</f>
        <v>442.39600000000002</v>
      </c>
      <c r="AB23">
        <f ca="1">IFERROR(IF(0=LEN(ReferenceData!$AB$23),"",ReferenceData!$AB$23),"")</f>
        <v>435.99700000000001</v>
      </c>
      <c r="AC23">
        <f ca="1">IFERROR(IF(0=LEN(ReferenceData!$AC$23),"",ReferenceData!$AC$23),"")</f>
        <v>310.86500000000001</v>
      </c>
      <c r="AD23">
        <f ca="1">IFERROR(IF(0=LEN(ReferenceData!$AD$23),"",ReferenceData!$AD$23),"")</f>
        <v>302.90499999999997</v>
      </c>
      <c r="AE23">
        <f ca="1">IFERROR(IF(0=LEN(ReferenceData!$AE$23),"",ReferenceData!$AE$23),"")</f>
        <v>288.29000000000002</v>
      </c>
      <c r="AF23">
        <f ca="1">IFERROR(IF(0=LEN(ReferenceData!$AF$23),"",ReferenceData!$AF$23),"")</f>
        <v>280.18599999999998</v>
      </c>
      <c r="AG23">
        <f ca="1">IFERROR(IF(0=LEN(ReferenceData!$AG$23),"",ReferenceData!$AG$23),"")</f>
        <v>262.30399999999997</v>
      </c>
      <c r="AH23">
        <f ca="1">IFERROR(IF(0=LEN(ReferenceData!$AH$23),"",ReferenceData!$AH$23),"")</f>
        <v>255.05</v>
      </c>
      <c r="AI23">
        <f ca="1">IFERROR(IF(0=LEN(ReferenceData!$AI$23),"",ReferenceData!$AI$23),"")</f>
        <v>154.91999999999999</v>
      </c>
      <c r="AJ23">
        <f ca="1">IFERROR(IF(0=LEN(ReferenceData!$AJ$23),"",ReferenceData!$AJ$23),"")</f>
        <v>132.80199999999999</v>
      </c>
      <c r="AK23">
        <f ca="1">IFERROR(IF(0=LEN(ReferenceData!$AK$23),"",ReferenceData!$AK$23),"")</f>
        <v>102.59</v>
      </c>
      <c r="AL23">
        <f ca="1">IFERROR(IF(0=LEN(ReferenceData!$AL$23),"",ReferenceData!$AL$23),"")</f>
        <v>92.078999999999994</v>
      </c>
      <c r="AM23">
        <f ca="1">IFERROR(IF(0=LEN(ReferenceData!$AM$23),"",ReferenceData!$AM$23),"")</f>
        <v>52.420999999999999</v>
      </c>
      <c r="AN23">
        <f ca="1">IFERROR(IF(0=LEN(ReferenceData!$AN$23),"",ReferenceData!$AN$23),"")</f>
        <v>36.929000000000002</v>
      </c>
      <c r="AO23">
        <f ca="1">IFERROR(IF(0=LEN(ReferenceData!$AO$23),"",ReferenceData!$AO$23),"")</f>
        <v>21.513999999999999</v>
      </c>
      <c r="AP23">
        <f ca="1">IFERROR(IF(0=LEN(ReferenceData!$AP$23),"",ReferenceData!$AP$23),"")</f>
        <v>0</v>
      </c>
      <c r="AQ23">
        <f ca="1">IFERROR(IF(0=LEN(ReferenceData!$AQ$23),"",ReferenceData!$AQ$23),"")</f>
        <v>0</v>
      </c>
      <c r="AR23">
        <f ca="1">IFERROR(IF(0=LEN(ReferenceData!$AR$23),"",ReferenceData!$AR$23),"")</f>
        <v>0</v>
      </c>
      <c r="AS23">
        <f ca="1">IFERROR(IF(0=LEN(ReferenceData!$AS$23),"",ReferenceData!$AS$23),"")</f>
        <v>0</v>
      </c>
      <c r="AT23">
        <f ca="1">IFERROR(IF(0=LEN(ReferenceData!$AT$23),"",ReferenceData!$AT$23),"")</f>
        <v>0</v>
      </c>
      <c r="AU23">
        <f ca="1">IFERROR(IF(0=LEN(ReferenceData!$AU$23),"",ReferenceData!$AU$23),"")</f>
        <v>0</v>
      </c>
      <c r="AV23">
        <f ca="1">IFERROR(IF(0=LEN(ReferenceData!$AV$23),"",ReferenceData!$AV$23),"")</f>
        <v>0</v>
      </c>
      <c r="AW23">
        <f ca="1">IFERROR(IF(0=LEN(ReferenceData!$AW$23),"",ReferenceData!$AW$23),"")</f>
        <v>275.738</v>
      </c>
      <c r="AX23">
        <f ca="1">IFERROR(IF(0=LEN(ReferenceData!$AX$23),"",ReferenceData!$AX$23),"")</f>
        <v>283.00599999999997</v>
      </c>
      <c r="AY23">
        <f ca="1">IFERROR(IF(0=LEN(ReferenceData!$AY$23),"",ReferenceData!$AY$23),"")</f>
        <v>289.108</v>
      </c>
      <c r="AZ23">
        <f ca="1">IFERROR(IF(0=LEN(ReferenceData!$AZ$23),"",ReferenceData!$AZ$23),"")</f>
        <v>289.85000000000002</v>
      </c>
      <c r="BA23">
        <f ca="1">IFERROR(IF(0=LEN(ReferenceData!$BA$23),"",ReferenceData!$BA$23),"")</f>
        <v>290.59100000000001</v>
      </c>
      <c r="BB23">
        <f ca="1">IFERROR(IF(0=LEN(ReferenceData!$BB$23),"",ReferenceData!$BB$23),"")</f>
        <v>291.33300000000003</v>
      </c>
      <c r="BC23">
        <f ca="1">IFERROR(IF(0=LEN(ReferenceData!$BC$23),"",ReferenceData!$BC$23),"")</f>
        <v>283.47199999999998</v>
      </c>
      <c r="BD23">
        <f ca="1">IFERROR(IF(0=LEN(ReferenceData!$BD$23),"",ReferenceData!$BD$23),"")</f>
        <v>284.89100000000002</v>
      </c>
      <c r="BE23">
        <f ca="1">IFERROR(IF(0=LEN(ReferenceData!$BE$23),"",ReferenceData!$BE$23),"")</f>
        <v>285.577</v>
      </c>
      <c r="BF23">
        <f ca="1">IFERROR(IF(0=LEN(ReferenceData!$BF$23),"",ReferenceData!$BF$23),"")</f>
        <v>286.25799999999998</v>
      </c>
      <c r="BG23">
        <f ca="1">IFERROR(IF(0=LEN(ReferenceData!$BG$23),"",ReferenceData!$BG$23),"")</f>
        <v>173.19300000000001</v>
      </c>
      <c r="BH23">
        <f ca="1">IFERROR(IF(0=LEN(ReferenceData!$BH$23),"",ReferenceData!$BH$23),"")</f>
        <v>82.441000000000003</v>
      </c>
      <c r="BI23">
        <f ca="1">IFERROR(IF(0=LEN(ReferenceData!$BI$23),"",ReferenceData!$BI$23),"")</f>
        <v>48.149000000000001</v>
      </c>
      <c r="BJ23">
        <f ca="1">IFERROR(IF(0=LEN(ReferenceData!$BJ$23),"",ReferenceData!$BJ$23),"")</f>
        <v>48.151000000000003</v>
      </c>
      <c r="BK23">
        <f ca="1">IFERROR(IF(0=LEN(ReferenceData!$BK$23),"",ReferenceData!$BK$23),"")</f>
        <v>24.103999999999999</v>
      </c>
      <c r="BL23">
        <f ca="1">IFERROR(IF(0=LEN(ReferenceData!$BL$23),"",ReferenceData!$BL$23),"")</f>
        <v>4.6100000000000003</v>
      </c>
      <c r="BM23" t="str">
        <f ca="1">IFERROR(IF(0=LEN(ReferenceData!$BM$23),"",ReferenceData!$BM$23),"")</f>
        <v/>
      </c>
    </row>
    <row r="24" spans="1:65" x14ac:dyDescent="0.25">
      <c r="A24" t="str">
        <f>IFERROR(IF(0=LEN(ReferenceData!$A$24),"",ReferenceData!$A$24),"")</f>
        <v xml:space="preserve">                Zions Bancorp NA</v>
      </c>
      <c r="B24" t="str">
        <f>IFERROR(IF(0=LEN(ReferenceData!$B$24),"",ReferenceData!$B$24),"")</f>
        <v>ZION US Equity</v>
      </c>
      <c r="C24" t="str">
        <f>IFERROR(IF(0=LEN(ReferenceData!$C$24),"",ReferenceData!$C$24),"")</f>
        <v>FC470</v>
      </c>
      <c r="D24" t="str">
        <f>IFERROR(IF(0=LEN(ReferenceData!$D$24),"",ReferenceData!$D$24),"")</f>
        <v>FDIC_SECS_HELD_TO_MTY_BOOK_VAL</v>
      </c>
      <c r="E24" t="str">
        <f>IFERROR(IF(0=LEN(ReferenceData!$E$24),"",ReferenceData!$E$24),"")</f>
        <v>Dynamic</v>
      </c>
      <c r="F24" t="str">
        <f ca="1">IFERROR(IF(0=LEN(ReferenceData!$F$24),"",ReferenceData!$F$24),"")</f>
        <v/>
      </c>
      <c r="G24" t="str">
        <f ca="1">IFERROR(IF(0=LEN(ReferenceData!$G$24),"",ReferenceData!$G$24),"")</f>
        <v/>
      </c>
      <c r="H24">
        <f ca="1">IFERROR(IF(0=LEN(ReferenceData!$H$24),"",ReferenceData!$H$24),"")</f>
        <v>10065.456</v>
      </c>
      <c r="I24">
        <f ca="1">IFERROR(IF(0=LEN(ReferenceData!$I$24),"",ReferenceData!$I$24),"")</f>
        <v>10209.26</v>
      </c>
      <c r="J24">
        <f ca="1">IFERROR(IF(0=LEN(ReferenceData!$J$24),"",ReferenceData!$J$24),"")</f>
        <v>10381.858</v>
      </c>
      <c r="K24">
        <f ca="1">IFERROR(IF(0=LEN(ReferenceData!$K$24),"",ReferenceData!$K$24),"")</f>
        <v>10559.152</v>
      </c>
      <c r="L24">
        <f ca="1">IFERROR(IF(0=LEN(ReferenceData!$L$24),"",ReferenceData!$L$24),"")</f>
        <v>10753.477999999999</v>
      </c>
      <c r="M24">
        <f ca="1">IFERROR(IF(0=LEN(ReferenceData!$M$24),"",ReferenceData!$M$24),"")</f>
        <v>10961.092000000001</v>
      </c>
      <c r="N24">
        <f ca="1">IFERROR(IF(0=LEN(ReferenceData!$N$24),"",ReferenceData!$N$24),"")</f>
        <v>11125.459000000001</v>
      </c>
      <c r="O24">
        <f ca="1">IFERROR(IF(0=LEN(ReferenceData!$O$24),"",ReferenceData!$O$24),"")</f>
        <v>423.28199999999998</v>
      </c>
      <c r="P24">
        <f ca="1">IFERROR(IF(0=LEN(ReferenceData!$P$24),"",ReferenceData!$P$24),"")</f>
        <v>613.92899999999997</v>
      </c>
      <c r="Q24">
        <f ca="1">IFERROR(IF(0=LEN(ReferenceData!$Q$24),"",ReferenceData!$Q$24),"")</f>
        <v>438.55200000000002</v>
      </c>
      <c r="R24">
        <f ca="1">IFERROR(IF(0=LEN(ReferenceData!$R$24),"",ReferenceData!$R$24),"")</f>
        <v>441.3</v>
      </c>
      <c r="S24">
        <f ca="1">IFERROR(IF(0=LEN(ReferenceData!$S$24),"",ReferenceData!$S$24),"")</f>
        <v>458.87799999999999</v>
      </c>
      <c r="T24">
        <f ca="1">IFERROR(IF(0=LEN(ReferenceData!$T$24),"",ReferenceData!$T$24),"")</f>
        <v>620.16300000000001</v>
      </c>
      <c r="U24">
        <f ca="1">IFERROR(IF(0=LEN(ReferenceData!$U$24),"",ReferenceData!$U$24),"")</f>
        <v>583.20000000000005</v>
      </c>
      <c r="V24" t="str">
        <f ca="1">IFERROR(IF(0=LEN(ReferenceData!$V$24),"",ReferenceData!$V$24),"")</f>
        <v/>
      </c>
      <c r="W24" t="str">
        <f ca="1">IFERROR(IF(0=LEN(ReferenceData!$W$24),"",ReferenceData!$W$24),"")</f>
        <v/>
      </c>
      <c r="X24" t="str">
        <f ca="1">IFERROR(IF(0=LEN(ReferenceData!$X$24),"",ReferenceData!$X$24),"")</f>
        <v/>
      </c>
      <c r="Y24" t="str">
        <f ca="1">IFERROR(IF(0=LEN(ReferenceData!$Y$24),"",ReferenceData!$Y$24),"")</f>
        <v/>
      </c>
      <c r="Z24" t="str">
        <f ca="1">IFERROR(IF(0=LEN(ReferenceData!$Z$24),"",ReferenceData!$Z$24),"")</f>
        <v/>
      </c>
      <c r="AA24" t="str">
        <f ca="1">IFERROR(IF(0=LEN(ReferenceData!$AA$24),"",ReferenceData!$AA$24),"")</f>
        <v/>
      </c>
      <c r="AB24" t="str">
        <f ca="1">IFERROR(IF(0=LEN(ReferenceData!$AB$24),"",ReferenceData!$AB$24),"")</f>
        <v/>
      </c>
      <c r="AC24" t="str">
        <f ca="1">IFERROR(IF(0=LEN(ReferenceData!$AC$24),"",ReferenceData!$AC$24),"")</f>
        <v/>
      </c>
      <c r="AD24" t="str">
        <f ca="1">IFERROR(IF(0=LEN(ReferenceData!$AD$24),"",ReferenceData!$AD$24),"")</f>
        <v/>
      </c>
      <c r="AE24" t="str">
        <f ca="1">IFERROR(IF(0=LEN(ReferenceData!$AE$24),"",ReferenceData!$AE$24),"")</f>
        <v/>
      </c>
      <c r="AF24" t="str">
        <f ca="1">IFERROR(IF(0=LEN(ReferenceData!$AF$24),"",ReferenceData!$AF$24),"")</f>
        <v/>
      </c>
      <c r="AG24" t="str">
        <f ca="1">IFERROR(IF(0=LEN(ReferenceData!$AG$24),"",ReferenceData!$AG$24),"")</f>
        <v/>
      </c>
      <c r="AH24" t="str">
        <f ca="1">IFERROR(IF(0=LEN(ReferenceData!$AH$24),"",ReferenceData!$AH$24),"")</f>
        <v/>
      </c>
      <c r="AI24" t="str">
        <f ca="1">IFERROR(IF(0=LEN(ReferenceData!$AI$24),"",ReferenceData!$AI$24),"")</f>
        <v/>
      </c>
      <c r="AJ24" t="str">
        <f ca="1">IFERROR(IF(0=LEN(ReferenceData!$AJ$24),"",ReferenceData!$AJ$24),"")</f>
        <v/>
      </c>
      <c r="AK24" t="str">
        <f ca="1">IFERROR(IF(0=LEN(ReferenceData!$AK$24),"",ReferenceData!$AK$24),"")</f>
        <v/>
      </c>
      <c r="AL24" t="str">
        <f ca="1">IFERROR(IF(0=LEN(ReferenceData!$AL$24),"",ReferenceData!$AL$24),"")</f>
        <v/>
      </c>
      <c r="AM24" t="str">
        <f ca="1">IFERROR(IF(0=LEN(ReferenceData!$AM$24),"",ReferenceData!$AM$24),"")</f>
        <v/>
      </c>
      <c r="AN24" t="str">
        <f ca="1">IFERROR(IF(0=LEN(ReferenceData!$AN$24),"",ReferenceData!$AN$24),"")</f>
        <v/>
      </c>
      <c r="AO24" t="str">
        <f ca="1">IFERROR(IF(0=LEN(ReferenceData!$AO$24),"",ReferenceData!$AO$24),"")</f>
        <v/>
      </c>
      <c r="AP24" t="str">
        <f ca="1">IFERROR(IF(0=LEN(ReferenceData!$AP$24),"",ReferenceData!$AP$24),"")</f>
        <v/>
      </c>
      <c r="AQ24" t="str">
        <f ca="1">IFERROR(IF(0=LEN(ReferenceData!$AQ$24),"",ReferenceData!$AQ$24),"")</f>
        <v/>
      </c>
      <c r="AR24" t="str">
        <f ca="1">IFERROR(IF(0=LEN(ReferenceData!$AR$24),"",ReferenceData!$AR$24),"")</f>
        <v/>
      </c>
      <c r="AS24" t="str">
        <f ca="1">IFERROR(IF(0=LEN(ReferenceData!$AS$24),"",ReferenceData!$AS$24),"")</f>
        <v/>
      </c>
      <c r="AT24" t="str">
        <f ca="1">IFERROR(IF(0=LEN(ReferenceData!$AT$24),"",ReferenceData!$AT$24),"")</f>
        <v/>
      </c>
      <c r="AU24" t="str">
        <f ca="1">IFERROR(IF(0=LEN(ReferenceData!$AU$24),"",ReferenceData!$AU$24),"")</f>
        <v/>
      </c>
      <c r="AV24" t="str">
        <f ca="1">IFERROR(IF(0=LEN(ReferenceData!$AV$24),"",ReferenceData!$AV$24),"")</f>
        <v/>
      </c>
      <c r="AW24" t="str">
        <f ca="1">IFERROR(IF(0=LEN(ReferenceData!$AW$24),"",ReferenceData!$AW$24),"")</f>
        <v/>
      </c>
      <c r="AX24" t="str">
        <f ca="1">IFERROR(IF(0=LEN(ReferenceData!$AX$24),"",ReferenceData!$AX$24),"")</f>
        <v/>
      </c>
      <c r="AY24" t="str">
        <f ca="1">IFERROR(IF(0=LEN(ReferenceData!$AY$24),"",ReferenceData!$AY$24),"")</f>
        <v/>
      </c>
      <c r="AZ24" t="str">
        <f ca="1">IFERROR(IF(0=LEN(ReferenceData!$AZ$24),"",ReferenceData!$AZ$24),"")</f>
        <v/>
      </c>
      <c r="BA24" t="str">
        <f ca="1">IFERROR(IF(0=LEN(ReferenceData!$BA$24),"",ReferenceData!$BA$24),"")</f>
        <v/>
      </c>
      <c r="BB24" t="str">
        <f ca="1">IFERROR(IF(0=LEN(ReferenceData!$BB$24),"",ReferenceData!$BB$24),"")</f>
        <v/>
      </c>
      <c r="BC24" t="str">
        <f ca="1">IFERROR(IF(0=LEN(ReferenceData!$BC$24),"",ReferenceData!$BC$24),"")</f>
        <v/>
      </c>
      <c r="BD24" t="str">
        <f ca="1">IFERROR(IF(0=LEN(ReferenceData!$BD$24),"",ReferenceData!$BD$24),"")</f>
        <v/>
      </c>
      <c r="BE24" t="str">
        <f ca="1">IFERROR(IF(0=LEN(ReferenceData!$BE$24),"",ReferenceData!$BE$24),"")</f>
        <v/>
      </c>
      <c r="BF24" t="str">
        <f ca="1">IFERROR(IF(0=LEN(ReferenceData!$BF$24),"",ReferenceData!$BF$24),"")</f>
        <v/>
      </c>
      <c r="BG24" t="str">
        <f ca="1">IFERROR(IF(0=LEN(ReferenceData!$BG$24),"",ReferenceData!$BG$24),"")</f>
        <v/>
      </c>
      <c r="BH24" t="str">
        <f ca="1">IFERROR(IF(0=LEN(ReferenceData!$BH$24),"",ReferenceData!$BH$24),"")</f>
        <v/>
      </c>
      <c r="BI24" t="str">
        <f ca="1">IFERROR(IF(0=LEN(ReferenceData!$BI$24),"",ReferenceData!$BI$24),"")</f>
        <v/>
      </c>
      <c r="BJ24" t="str">
        <f ca="1">IFERROR(IF(0=LEN(ReferenceData!$BJ$24),"",ReferenceData!$BJ$24),"")</f>
        <v/>
      </c>
      <c r="BK24" t="str">
        <f ca="1">IFERROR(IF(0=LEN(ReferenceData!$BK$24),"",ReferenceData!$BK$24),"")</f>
        <v/>
      </c>
      <c r="BL24" t="str">
        <f ca="1">IFERROR(IF(0=LEN(ReferenceData!$BL$24),"",ReferenceData!$BL$24),"")</f>
        <v/>
      </c>
      <c r="BM24" t="str">
        <f ca="1">IFERROR(IF(0=LEN(ReferenceData!$BM$24),"",ReferenceData!$BM$24),"")</f>
        <v/>
      </c>
    </row>
    <row r="25" spans="1:65" x14ac:dyDescent="0.25">
      <c r="A25" t="str">
        <f>IFERROR(IF(0=LEN(ReferenceData!$A$25),"",ReferenceData!$A$25),"")</f>
        <v xml:space="preserve">            Available-for-sale Securities</v>
      </c>
      <c r="B25" t="str">
        <f>IFERROR(IF(0=LEN(ReferenceData!$B$25),"",ReferenceData!$B$25),"")</f>
        <v/>
      </c>
      <c r="C25" t="str">
        <f>IFERROR(IF(0=LEN(ReferenceData!$C$25),"",ReferenceData!$C$25),"")</f>
        <v/>
      </c>
      <c r="D25" t="str">
        <f>IFERROR(IF(0=LEN(ReferenceData!$D$25),"",ReferenceData!$D$25),"")</f>
        <v/>
      </c>
      <c r="E25" t="str">
        <f>IFERROR(IF(0=LEN(ReferenceData!$E$25),"",ReferenceData!$E$25),"")</f>
        <v>Sum</v>
      </c>
      <c r="F25">
        <f ca="1">IFERROR(IF(0=LEN(ReferenceData!$F$25),"",ReferenceData!$F$25),"")</f>
        <v>1599549.58</v>
      </c>
      <c r="G25">
        <f ca="1">IFERROR(IF(0=LEN(ReferenceData!$G$25),"",ReferenceData!$G$25),"")</f>
        <v>1580143.6810000001</v>
      </c>
      <c r="H25">
        <f ca="1">IFERROR(IF(0=LEN(ReferenceData!$H$25),"",ReferenceData!$H$25),"")</f>
        <v>1481359.5240000002</v>
      </c>
      <c r="I25">
        <f ca="1">IFERROR(IF(0=LEN(ReferenceData!$I$25),"",ReferenceData!$I$25),"")</f>
        <v>1452398.3130000003</v>
      </c>
      <c r="J25">
        <f ca="1">IFERROR(IF(0=LEN(ReferenceData!$J$25),"",ReferenceData!$J$25),"")</f>
        <v>1361085.9409999999</v>
      </c>
      <c r="K25">
        <f ca="1">IFERROR(IF(0=LEN(ReferenceData!$K$25),"",ReferenceData!$K$25),"")</f>
        <v>1206138.5389999999</v>
      </c>
      <c r="L25">
        <f ca="1">IFERROR(IF(0=LEN(ReferenceData!$L$25),"",ReferenceData!$L$25),"")</f>
        <v>1194171.6439999999</v>
      </c>
      <c r="M25">
        <f ca="1">IFERROR(IF(0=LEN(ReferenceData!$M$25),"",ReferenceData!$M$25),"")</f>
        <v>1238901.5230000003</v>
      </c>
      <c r="N25">
        <f ca="1">IFERROR(IF(0=LEN(ReferenceData!$N$25),"",ReferenceData!$N$25),"")</f>
        <v>1289479.29</v>
      </c>
      <c r="O25">
        <f ca="1">IFERROR(IF(0=LEN(ReferenceData!$O$25),"",ReferenceData!$O$25),"")</f>
        <v>1268827.2280000001</v>
      </c>
      <c r="P25">
        <f ca="1">IFERROR(IF(0=LEN(ReferenceData!$P$25),"",ReferenceData!$P$25),"")</f>
        <v>1417894.3389999999</v>
      </c>
      <c r="Q25">
        <f ca="1">IFERROR(IF(0=LEN(ReferenceData!$Q$25),"",ReferenceData!$Q$25),"")</f>
        <v>1691419.5159999998</v>
      </c>
      <c r="R25">
        <f ca="1">IFERROR(IF(0=LEN(ReferenceData!$R$25),"",ReferenceData!$R$25),"")</f>
        <v>1823565.0850000002</v>
      </c>
      <c r="S25">
        <f ca="1">IFERROR(IF(0=LEN(ReferenceData!$S$25),"",ReferenceData!$S$25),"")</f>
        <v>1753288.953</v>
      </c>
      <c r="T25">
        <f ca="1">IFERROR(IF(0=LEN(ReferenceData!$T$25),"",ReferenceData!$T$25),"")</f>
        <v>1739901.6910000003</v>
      </c>
      <c r="U25">
        <f ca="1">IFERROR(IF(0=LEN(ReferenceData!$U$25),"",ReferenceData!$U$25),"")</f>
        <v>1833205.6649999998</v>
      </c>
      <c r="V25">
        <f ca="1">IFERROR(IF(0=LEN(ReferenceData!$V$25),"",ReferenceData!$V$25),"")</f>
        <v>1792767.7109999999</v>
      </c>
      <c r="W25">
        <f ca="1">IFERROR(IF(0=LEN(ReferenceData!$W$25),"",ReferenceData!$W$25),"")</f>
        <v>1765420.5200000003</v>
      </c>
      <c r="X25">
        <f ca="1">IFERROR(IF(0=LEN(ReferenceData!$X$25),"",ReferenceData!$X$25),"")</f>
        <v>1794445.5550000002</v>
      </c>
      <c r="Y25">
        <f ca="1">IFERROR(IF(0=LEN(ReferenceData!$Y$25),"",ReferenceData!$Y$25),"")</f>
        <v>1693386.8430000003</v>
      </c>
      <c r="Z25">
        <f ca="1">IFERROR(IF(0=LEN(ReferenceData!$Z$25),"",ReferenceData!$Z$25),"")</f>
        <v>1634235.3990000002</v>
      </c>
      <c r="AA25">
        <f ca="1">IFERROR(IF(0=LEN(ReferenceData!$AA$25),"",ReferenceData!$AA$25),"")</f>
        <v>1521570.102</v>
      </c>
      <c r="AB25">
        <f ca="1">IFERROR(IF(0=LEN(ReferenceData!$AB$25),"",ReferenceData!$AB$25),"")</f>
        <v>1407997.98</v>
      </c>
      <c r="AC25">
        <f ca="1">IFERROR(IF(0=LEN(ReferenceData!$AC$25),"",ReferenceData!$AC$25),"")</f>
        <v>1364309.1090000002</v>
      </c>
      <c r="AD25">
        <f ca="1">IFERROR(IF(0=LEN(ReferenceData!$AD$25),"",ReferenceData!$AD$25),"")</f>
        <v>1359381.6189999997</v>
      </c>
      <c r="AE25">
        <f ca="1">IFERROR(IF(0=LEN(ReferenceData!$AE$25),"",ReferenceData!$AE$25),"")</f>
        <v>1323016.983</v>
      </c>
      <c r="AF25">
        <f ca="1">IFERROR(IF(0=LEN(ReferenceData!$AF$25),"",ReferenceData!$AF$25),"")</f>
        <v>1358680.081</v>
      </c>
      <c r="AG25">
        <f ca="1">IFERROR(IF(0=LEN(ReferenceData!$AG$25),"",ReferenceData!$AG$25),"")</f>
        <v>1403108.2340000002</v>
      </c>
      <c r="AH25">
        <f ca="1">IFERROR(IF(0=LEN(ReferenceData!$AH$25),"",ReferenceData!$AH$25),"")</f>
        <v>1410900.7110000004</v>
      </c>
      <c r="AI25">
        <f ca="1">IFERROR(IF(0=LEN(ReferenceData!$AI$25),"",ReferenceData!$AI$25),"")</f>
        <v>1420644.5249999999</v>
      </c>
      <c r="AJ25">
        <f ca="1">IFERROR(IF(0=LEN(ReferenceData!$AJ$25),"",ReferenceData!$AJ$25),"")</f>
        <v>1420220.9230000002</v>
      </c>
      <c r="AK25">
        <f ca="1">IFERROR(IF(0=LEN(ReferenceData!$AK$25),"",ReferenceData!$AK$25),"")</f>
        <v>1460365.0850000002</v>
      </c>
      <c r="AL25">
        <f ca="1">IFERROR(IF(0=LEN(ReferenceData!$AL$25),"",ReferenceData!$AL$25),"")</f>
        <v>1483839.8489999999</v>
      </c>
      <c r="AM25">
        <f ca="1">IFERROR(IF(0=LEN(ReferenceData!$AM$25),"",ReferenceData!$AM$25),"")</f>
        <v>1469425.8069999998</v>
      </c>
      <c r="AN25">
        <f ca="1">IFERROR(IF(0=LEN(ReferenceData!$AN$25),"",ReferenceData!$AN$25),"")</f>
        <v>1410052.5890000002</v>
      </c>
      <c r="AO25">
        <f ca="1">IFERROR(IF(0=LEN(ReferenceData!$AO$25),"",ReferenceData!$AO$25),"")</f>
        <v>1409460.3590000002</v>
      </c>
      <c r="AP25">
        <f ca="1">IFERROR(IF(0=LEN(ReferenceData!$AP$25),"",ReferenceData!$AP$25),"")</f>
        <v>1425009.3160000001</v>
      </c>
      <c r="AQ25">
        <f ca="1">IFERROR(IF(0=LEN(ReferenceData!$AQ$25),"",ReferenceData!$AQ$25),"")</f>
        <v>1427103.632</v>
      </c>
      <c r="AR25">
        <f ca="1">IFERROR(IF(0=LEN(ReferenceData!$AR$25),"",ReferenceData!$AR$25),"")</f>
        <v>1409573.9450000001</v>
      </c>
      <c r="AS25">
        <f ca="1">IFERROR(IF(0=LEN(ReferenceData!$AS$25),"",ReferenceData!$AS$25),"")</f>
        <v>1411374.0730000003</v>
      </c>
      <c r="AT25">
        <f ca="1">IFERROR(IF(0=LEN(ReferenceData!$AT$25),"",ReferenceData!$AT$25),"")</f>
        <v>1416242.013</v>
      </c>
      <c r="AU25">
        <f ca="1">IFERROR(IF(0=LEN(ReferenceData!$AU$25),"",ReferenceData!$AU$25),"")</f>
        <v>1401906.3969999999</v>
      </c>
      <c r="AV25">
        <f ca="1">IFERROR(IF(0=LEN(ReferenceData!$AV$25),"",ReferenceData!$AV$25),"")</f>
        <v>1372465.3219999999</v>
      </c>
      <c r="AW25">
        <f ca="1">IFERROR(IF(0=LEN(ReferenceData!$AW$25),"",ReferenceData!$AW$25),"")</f>
        <v>1358130.5519999999</v>
      </c>
      <c r="AX25">
        <f ca="1">IFERROR(IF(0=LEN(ReferenceData!$AX$25),"",ReferenceData!$AX$25),"")</f>
        <v>1357546.1560000002</v>
      </c>
      <c r="AY25">
        <f ca="1">IFERROR(IF(0=LEN(ReferenceData!$AY$25),"",ReferenceData!$AY$25),"")</f>
        <v>1379897.75</v>
      </c>
      <c r="AZ25">
        <f ca="1">IFERROR(IF(0=LEN(ReferenceData!$AZ$25),"",ReferenceData!$AZ$25),"")</f>
        <v>1393234.7730000003</v>
      </c>
      <c r="BA25">
        <f ca="1">IFERROR(IF(0=LEN(ReferenceData!$BA$25),"",ReferenceData!$BA$25),"")</f>
        <v>1440552.831</v>
      </c>
      <c r="BB25">
        <f ca="1">IFERROR(IF(0=LEN(ReferenceData!$BB$25),"",ReferenceData!$BB$25),"")</f>
        <v>1467263.1099999999</v>
      </c>
      <c r="BC25">
        <f ca="1">IFERROR(IF(0=LEN(ReferenceData!$BC$25),"",ReferenceData!$BC$25),"")</f>
        <v>1457441.5359999998</v>
      </c>
      <c r="BD25">
        <f ca="1">IFERROR(IF(0=LEN(ReferenceData!$BD$25),"",ReferenceData!$BD$25),"")</f>
        <v>1441886.7819999997</v>
      </c>
      <c r="BE25">
        <f ca="1">IFERROR(IF(0=LEN(ReferenceData!$BE$25),"",ReferenceData!$BE$25),"")</f>
        <v>1484490.047</v>
      </c>
      <c r="BF25">
        <f ca="1">IFERROR(IF(0=LEN(ReferenceData!$BF$25),"",ReferenceData!$BF$25),"")</f>
        <v>1408661.848</v>
      </c>
      <c r="BG25">
        <f ca="1">IFERROR(IF(0=LEN(ReferenceData!$BG$25),"",ReferenceData!$BG$25),"")</f>
        <v>1408803.4819999998</v>
      </c>
      <c r="BH25">
        <f ca="1">IFERROR(IF(0=LEN(ReferenceData!$BH$25),"",ReferenceData!$BH$25),"")</f>
        <v>1402918.4270000004</v>
      </c>
      <c r="BI25">
        <f ca="1">IFERROR(IF(0=LEN(ReferenceData!$BI$25),"",ReferenceData!$BI$25),"")</f>
        <v>1422858.7509999999</v>
      </c>
      <c r="BJ25">
        <f ca="1">IFERROR(IF(0=LEN(ReferenceData!$BJ$25),"",ReferenceData!$BJ$25),"")</f>
        <v>1404890.5020000001</v>
      </c>
      <c r="BK25">
        <f ca="1">IFERROR(IF(0=LEN(ReferenceData!$BK$25),"",ReferenceData!$BK$25),"")</f>
        <v>1433040.4550000001</v>
      </c>
      <c r="BL25">
        <f ca="1">IFERROR(IF(0=LEN(ReferenceData!$BL$25),"",ReferenceData!$BL$25),"")</f>
        <v>1327573.398</v>
      </c>
      <c r="BM25">
        <f ca="1">IFERROR(IF(0=LEN(ReferenceData!$BM$25),"",ReferenceData!$BM$25),"")</f>
        <v>80142.015000000014</v>
      </c>
    </row>
    <row r="26" spans="1:65" x14ac:dyDescent="0.25">
      <c r="A26" t="str">
        <f>IFERROR(IF(0=LEN(ReferenceData!$A$26),"",ReferenceData!$A$26),"")</f>
        <v xml:space="preserve">                Bank of America Corp</v>
      </c>
      <c r="B26" t="str">
        <f>IFERROR(IF(0=LEN(ReferenceData!$B$26),"",ReferenceData!$B$26),"")</f>
        <v>BAC US Equity</v>
      </c>
      <c r="C26" t="str">
        <f>IFERROR(IF(0=LEN(ReferenceData!$C$26),"",ReferenceData!$C$26),"")</f>
        <v>FC471</v>
      </c>
      <c r="D26" t="str">
        <f>IFERROR(IF(0=LEN(ReferenceData!$D$26),"",ReferenceData!$D$26),"")</f>
        <v>FDIC_SECS_AVAIL_FOR_SALE_MKT_VAL</v>
      </c>
      <c r="E26" t="str">
        <f>IFERROR(IF(0=LEN(ReferenceData!$E$26),"",ReferenceData!$E$26),"")</f>
        <v>Dynamic</v>
      </c>
      <c r="F26">
        <f ca="1">IFERROR(IF(0=LEN(ReferenceData!$F$26),"",ReferenceData!$F$26),"")</f>
        <v>346432</v>
      </c>
      <c r="G26">
        <f ca="1">IFERROR(IF(0=LEN(ReferenceData!$G$26),"",ReferenceData!$G$26),"")</f>
        <v>315719</v>
      </c>
      <c r="H26">
        <f ca="1">IFERROR(IF(0=LEN(ReferenceData!$H$26),"",ReferenceData!$H$26),"")</f>
        <v>291295</v>
      </c>
      <c r="I26">
        <f ca="1">IFERROR(IF(0=LEN(ReferenceData!$I$26),"",ReferenceData!$I$26),"")</f>
        <v>313072</v>
      </c>
      <c r="J26">
        <f ca="1">IFERROR(IF(0=LEN(ReferenceData!$J$26),"",ReferenceData!$J$26),"")</f>
        <v>266649</v>
      </c>
      <c r="K26">
        <f ca="1">IFERROR(IF(0=LEN(ReferenceData!$K$26),"",ReferenceData!$K$26),"")</f>
        <v>165610</v>
      </c>
      <c r="L26">
        <f ca="1">IFERROR(IF(0=LEN(ReferenceData!$L$26),"",ReferenceData!$L$26),"")</f>
        <v>132005</v>
      </c>
      <c r="M26">
        <f ca="1">IFERROR(IF(0=LEN(ReferenceData!$M$26),"",ReferenceData!$M$26),"")</f>
        <v>162410</v>
      </c>
      <c r="N26">
        <f ca="1">IFERROR(IF(0=LEN(ReferenceData!$N$26),"",ReferenceData!$N$26),"")</f>
        <v>220788</v>
      </c>
      <c r="O26">
        <f ca="1">IFERROR(IF(0=LEN(ReferenceData!$O$26),"",ReferenceData!$O$26),"")</f>
        <v>226340</v>
      </c>
      <c r="P26">
        <f ca="1">IFERROR(IF(0=LEN(ReferenceData!$P$26),"",ReferenceData!$P$26),"")</f>
        <v>266254</v>
      </c>
      <c r="Q26">
        <f ca="1">IFERROR(IF(0=LEN(ReferenceData!$Q$26),"",ReferenceData!$Q$26),"")</f>
        <v>289287</v>
      </c>
      <c r="R26">
        <f ca="1">IFERROR(IF(0=LEN(ReferenceData!$R$26),"",ReferenceData!$R$26),"")</f>
        <v>299178</v>
      </c>
      <c r="S26">
        <f ca="1">IFERROR(IF(0=LEN(ReferenceData!$S$26),"",ReferenceData!$S$26),"")</f>
        <v>275357</v>
      </c>
      <c r="T26">
        <f ca="1">IFERROR(IF(0=LEN(ReferenceData!$T$26),"",ReferenceData!$T$26),"")</f>
        <v>278179</v>
      </c>
      <c r="U26">
        <f ca="1">IFERROR(IF(0=LEN(ReferenceData!$U$26),"",ReferenceData!$U$26),"")</f>
        <v>270614</v>
      </c>
      <c r="V26">
        <f ca="1">IFERROR(IF(0=LEN(ReferenceData!$V$26),"",ReferenceData!$V$26),"")</f>
        <v>234491</v>
      </c>
      <c r="W26">
        <f ca="1">IFERROR(IF(0=LEN(ReferenceData!$W$26),"",ReferenceData!$W$26),"")</f>
        <v>233692</v>
      </c>
      <c r="X26">
        <f ca="1">IFERROR(IF(0=LEN(ReferenceData!$X$26),"",ReferenceData!$X$26),"")</f>
        <v>190432</v>
      </c>
      <c r="Y26">
        <f ca="1">IFERROR(IF(0=LEN(ReferenceData!$Y$26),"",ReferenceData!$Y$26),"")</f>
        <v>206221</v>
      </c>
      <c r="Z26">
        <f ca="1">IFERROR(IF(0=LEN(ReferenceData!$Z$26),"",ReferenceData!$Z$26),"")</f>
        <v>245639</v>
      </c>
      <c r="AA26">
        <f ca="1">IFERROR(IF(0=LEN(ReferenceData!$AA$26),"",ReferenceData!$AA$26),"")</f>
        <v>244872</v>
      </c>
      <c r="AB26">
        <f ca="1">IFERROR(IF(0=LEN(ReferenceData!$AB$26),"",ReferenceData!$AB$26),"")</f>
        <v>235979</v>
      </c>
      <c r="AC26">
        <f ca="1">IFERROR(IF(0=LEN(ReferenceData!$AC$26),"",ReferenceData!$AC$26),"")</f>
        <v>231612</v>
      </c>
      <c r="AD26">
        <f ca="1">IFERROR(IF(0=LEN(ReferenceData!$AD$26),"",ReferenceData!$AD$26),"")</f>
        <v>229366</v>
      </c>
      <c r="AE26">
        <f ca="1">IFERROR(IF(0=LEN(ReferenceData!$AE$26),"",ReferenceData!$AE$26),"")</f>
        <v>239048</v>
      </c>
      <c r="AF26">
        <f ca="1">IFERROR(IF(0=LEN(ReferenceData!$AF$26),"",ReferenceData!$AF$26),"")</f>
        <v>262119</v>
      </c>
      <c r="AG26">
        <f ca="1">IFERROR(IF(0=LEN(ReferenceData!$AG$26),"",ReferenceData!$AG$26),"")</f>
        <v>290360</v>
      </c>
      <c r="AH26">
        <f ca="1">IFERROR(IF(0=LEN(ReferenceData!$AH$26),"",ReferenceData!$AH$26),"")</f>
        <v>304889</v>
      </c>
      <c r="AI26">
        <f ca="1">IFERROR(IF(0=LEN(ReferenceData!$AI$26),"",ReferenceData!$AI$26),"")</f>
        <v>301433</v>
      </c>
      <c r="AJ26">
        <f ca="1">IFERROR(IF(0=LEN(ReferenceData!$AJ$26),"",ReferenceData!$AJ$26),"")</f>
        <v>301187</v>
      </c>
      <c r="AK26">
        <f ca="1">IFERROR(IF(0=LEN(ReferenceData!$AK$26),"",ReferenceData!$AK$26),"")</f>
        <v>297739</v>
      </c>
      <c r="AL26">
        <f ca="1">IFERROR(IF(0=LEN(ReferenceData!$AL$26),"",ReferenceData!$AL$26),"")</f>
        <v>296377</v>
      </c>
      <c r="AM26">
        <f ca="1">IFERROR(IF(0=LEN(ReferenceData!$AM$26),"",ReferenceData!$AM$26),"")</f>
        <v>303029</v>
      </c>
      <c r="AN26">
        <f ca="1">IFERROR(IF(0=LEN(ReferenceData!$AN$26),"",ReferenceData!$AN$26),"")</f>
        <v>290535</v>
      </c>
      <c r="AO26">
        <f ca="1">IFERROR(IF(0=LEN(ReferenceData!$AO$26),"",ReferenceData!$AO$26),"")</f>
        <v>285238</v>
      </c>
      <c r="AP26">
        <f ca="1">IFERROR(IF(0=LEN(ReferenceData!$AP$26),"",ReferenceData!$AP$26),"")</f>
        <v>307135</v>
      </c>
      <c r="AQ26">
        <f ca="1">IFERROR(IF(0=LEN(ReferenceData!$AQ$26),"",ReferenceData!$AQ$26),"")</f>
        <v>299025</v>
      </c>
      <c r="AR26">
        <f ca="1">IFERROR(IF(0=LEN(ReferenceData!$AR$26),"",ReferenceData!$AR$26),"")</f>
        <v>298471</v>
      </c>
      <c r="AS26">
        <f ca="1">IFERROR(IF(0=LEN(ReferenceData!$AS$26),"",ReferenceData!$AS$26),"")</f>
        <v>290124</v>
      </c>
      <c r="AT26">
        <f ca="1">IFERROR(IF(0=LEN(ReferenceData!$AT$26),"",ReferenceData!$AT$26),"")</f>
        <v>286033</v>
      </c>
      <c r="AU26">
        <f ca="1">IFERROR(IF(0=LEN(ReferenceData!$AU$26),"",ReferenceData!$AU$26),"")</f>
        <v>267993</v>
      </c>
      <c r="AV26">
        <f ca="1">IFERROR(IF(0=LEN(ReferenceData!$AV$26),"",ReferenceData!$AV$26),"")</f>
        <v>252539</v>
      </c>
      <c r="AW26">
        <f ca="1">IFERROR(IF(0=LEN(ReferenceData!$AW$26),"",ReferenceData!$AW$26),"")</f>
        <v>252412</v>
      </c>
      <c r="AX26">
        <f ca="1">IFERROR(IF(0=LEN(ReferenceData!$AX$26),"",ReferenceData!$AX$26),"")</f>
        <v>238253</v>
      </c>
      <c r="AY26">
        <f ca="1">IFERROR(IF(0=LEN(ReferenceData!$AY$26),"",ReferenceData!$AY$26),"")</f>
        <v>237464</v>
      </c>
      <c r="AZ26">
        <f ca="1">IFERROR(IF(0=LEN(ReferenceData!$AZ$26),"",ReferenceData!$AZ$26),"")</f>
        <v>243227</v>
      </c>
      <c r="BA26">
        <f ca="1">IFERROR(IF(0=LEN(ReferenceData!$BA$26),"",ReferenceData!$BA$26),"")</f>
        <v>266295</v>
      </c>
      <c r="BB26">
        <f ca="1">IFERROR(IF(0=LEN(ReferenceData!$BB$26),"",ReferenceData!$BB$26),"")</f>
        <v>291630.375</v>
      </c>
      <c r="BC26">
        <f ca="1">IFERROR(IF(0=LEN(ReferenceData!$BC$26),"",ReferenceData!$BC$26),"")</f>
        <v>311269.13199999998</v>
      </c>
      <c r="BD26">
        <f ca="1">IFERROR(IF(0=LEN(ReferenceData!$BD$26),"",ReferenceData!$BD$26),"")</f>
        <v>305267.08199999999</v>
      </c>
      <c r="BE26">
        <f ca="1">IFERROR(IF(0=LEN(ReferenceData!$BE$26),"",ReferenceData!$BE$26),"")</f>
        <v>302138.55300000001</v>
      </c>
      <c r="BF26">
        <f ca="1">IFERROR(IF(0=LEN(ReferenceData!$BF$26),"",ReferenceData!$BF$26),"")</f>
        <v>287897.79100000003</v>
      </c>
      <c r="BG26">
        <f ca="1">IFERROR(IF(0=LEN(ReferenceData!$BG$26),"",ReferenceData!$BG$26),"")</f>
        <v>333442.88900000002</v>
      </c>
      <c r="BH26">
        <f ca="1">IFERROR(IF(0=LEN(ReferenceData!$BH$26),"",ReferenceData!$BH$26),"")</f>
        <v>351282.41700000002</v>
      </c>
      <c r="BI26">
        <f ca="1">IFERROR(IF(0=LEN(ReferenceData!$BI$26),"",ReferenceData!$BI$26),"")</f>
        <v>352369.65899999999</v>
      </c>
      <c r="BJ26">
        <f ca="1">IFERROR(IF(0=LEN(ReferenceData!$BJ$26),"",ReferenceData!$BJ$26),"")</f>
        <v>360388.98599999998</v>
      </c>
      <c r="BK26">
        <f ca="1">IFERROR(IF(0=LEN(ReferenceData!$BK$26),"",ReferenceData!$BK$26),"")</f>
        <v>344804.35</v>
      </c>
      <c r="BL26">
        <f ca="1">IFERROR(IF(0=LEN(ReferenceData!$BL$26),"",ReferenceData!$BL$26),"")</f>
        <v>319256.326</v>
      </c>
      <c r="BM26" t="str">
        <f ca="1">IFERROR(IF(0=LEN(ReferenceData!$BM$26),"",ReferenceData!$BM$26),"")</f>
        <v/>
      </c>
    </row>
    <row r="27" spans="1:65" x14ac:dyDescent="0.25">
      <c r="A27" t="str">
        <f>IFERROR(IF(0=LEN(ReferenceData!$A$27),"",ReferenceData!$A$27),"")</f>
        <v xml:space="preserve">                Citigroup Inc</v>
      </c>
      <c r="B27" t="str">
        <f>IFERROR(IF(0=LEN(ReferenceData!$B$27),"",ReferenceData!$B$27),"")</f>
        <v>C US Equity</v>
      </c>
      <c r="C27" t="str">
        <f>IFERROR(IF(0=LEN(ReferenceData!$C$27),"",ReferenceData!$C$27),"")</f>
        <v>FC471</v>
      </c>
      <c r="D27" t="str">
        <f>IFERROR(IF(0=LEN(ReferenceData!$D$27),"",ReferenceData!$D$27),"")</f>
        <v>FDIC_SECS_AVAIL_FOR_SALE_MKT_VAL</v>
      </c>
      <c r="E27" t="str">
        <f>IFERROR(IF(0=LEN(ReferenceData!$E$27),"",ReferenceData!$E$27),"")</f>
        <v>Dynamic</v>
      </c>
      <c r="F27">
        <f ca="1">IFERROR(IF(0=LEN(ReferenceData!$F$27),"",ReferenceData!$F$27),"")</f>
        <v>222989</v>
      </c>
      <c r="G27">
        <f ca="1">IFERROR(IF(0=LEN(ReferenceData!$G$27),"",ReferenceData!$G$27),"")</f>
        <v>230095</v>
      </c>
      <c r="H27">
        <f ca="1">IFERROR(IF(0=LEN(ReferenceData!$H$27),"",ReferenceData!$H$27),"")</f>
        <v>244049</v>
      </c>
      <c r="I27">
        <f ca="1">IFERROR(IF(0=LEN(ReferenceData!$I$27),"",ReferenceData!$I$27),"")</f>
        <v>249149</v>
      </c>
      <c r="J27">
        <f ca="1">IFERROR(IF(0=LEN(ReferenceData!$J$27),"",ReferenceData!$J$27),"")</f>
        <v>250198</v>
      </c>
      <c r="K27">
        <f ca="1">IFERROR(IF(0=LEN(ReferenceData!$K$27),"",ReferenceData!$K$27),"")</f>
        <v>234933</v>
      </c>
      <c r="L27">
        <f ca="1">IFERROR(IF(0=LEN(ReferenceData!$L$27),"",ReferenceData!$L$27),"")</f>
        <v>231239</v>
      </c>
      <c r="M27">
        <f ca="1">IFERROR(IF(0=LEN(ReferenceData!$M$27),"",ReferenceData!$M$27),"")</f>
        <v>235329</v>
      </c>
      <c r="N27">
        <f ca="1">IFERROR(IF(0=LEN(ReferenceData!$N$27),"",ReferenceData!$N$27),"")</f>
        <v>245486</v>
      </c>
      <c r="O27">
        <f ca="1">IFERROR(IF(0=LEN(ReferenceData!$O$27),"",ReferenceData!$O$27),"")</f>
        <v>228387</v>
      </c>
      <c r="P27">
        <f ca="1">IFERROR(IF(0=LEN(ReferenceData!$P$27),"",ReferenceData!$P$27),"")</f>
        <v>233564</v>
      </c>
      <c r="Q27">
        <f ca="1">IFERROR(IF(0=LEN(ReferenceData!$Q$27),"",ReferenceData!$Q$27),"")</f>
        <v>260087</v>
      </c>
      <c r="R27">
        <f ca="1">IFERROR(IF(0=LEN(ReferenceData!$R$27),"",ReferenceData!$R$27),"")</f>
        <v>283645</v>
      </c>
      <c r="S27">
        <f ca="1">IFERROR(IF(0=LEN(ReferenceData!$S$27),"",ReferenceData!$S$27),"")</f>
        <v>290309</v>
      </c>
      <c r="T27">
        <f ca="1">IFERROR(IF(0=LEN(ReferenceData!$T$27),"",ReferenceData!$T$27),"")</f>
        <v>297315</v>
      </c>
      <c r="U27">
        <f ca="1">IFERROR(IF(0=LEN(ReferenceData!$U$27),"",ReferenceData!$U$27),"")</f>
        <v>299280</v>
      </c>
      <c r="V27">
        <f ca="1">IFERROR(IF(0=LEN(ReferenceData!$V$27),"",ReferenceData!$V$27),"")</f>
        <v>330218</v>
      </c>
      <c r="W27">
        <f ca="1">IFERROR(IF(0=LEN(ReferenceData!$W$27),"",ReferenceData!$W$27),"")</f>
        <v>339161</v>
      </c>
      <c r="X27">
        <f ca="1">IFERROR(IF(0=LEN(ReferenceData!$X$27),"",ReferenceData!$X$27),"")</f>
        <v>337636</v>
      </c>
      <c r="Y27">
        <f ca="1">IFERROR(IF(0=LEN(ReferenceData!$Y$27),"",ReferenceData!$Y$27),"")</f>
        <v>304150</v>
      </c>
      <c r="Z27">
        <f ca="1">IFERROR(IF(0=LEN(ReferenceData!$Z$27),"",ReferenceData!$Z$27),"")</f>
        <v>275823</v>
      </c>
      <c r="AA27">
        <f ca="1">IFERROR(IF(0=LEN(ReferenceData!$AA$27),"",ReferenceData!$AA$27),"")</f>
        <v>271519</v>
      </c>
      <c r="AB27">
        <f ca="1">IFERROR(IF(0=LEN(ReferenceData!$AB$27),"",ReferenceData!$AB$27),"")</f>
        <v>269246</v>
      </c>
      <c r="AC27">
        <f ca="1">IFERROR(IF(0=LEN(ReferenceData!$AC$27),"",ReferenceData!$AC$27),"")</f>
        <v>271460</v>
      </c>
      <c r="AD27">
        <f ca="1">IFERROR(IF(0=LEN(ReferenceData!$AD$27),"",ReferenceData!$AD$27),"")</f>
        <v>284066</v>
      </c>
      <c r="AE27">
        <f ca="1">IFERROR(IF(0=LEN(ReferenceData!$AE$27),"",ReferenceData!$AE$27),"")</f>
        <v>280867</v>
      </c>
      <c r="AF27">
        <f ca="1">IFERROR(IF(0=LEN(ReferenceData!$AF$27),"",ReferenceData!$AF$27),"")</f>
        <v>285445</v>
      </c>
      <c r="AG27">
        <f ca="1">IFERROR(IF(0=LEN(ReferenceData!$AG$27),"",ReferenceData!$AG$27),"")</f>
        <v>291358</v>
      </c>
      <c r="AH27">
        <f ca="1">IFERROR(IF(0=LEN(ReferenceData!$AH$27),"",ReferenceData!$AH$27),"")</f>
        <v>290616</v>
      </c>
      <c r="AI27">
        <f ca="1">IFERROR(IF(0=LEN(ReferenceData!$AI$27),"",ReferenceData!$AI$27),"")</f>
        <v>294977</v>
      </c>
      <c r="AJ27">
        <f ca="1">IFERROR(IF(0=LEN(ReferenceData!$AJ$27),"",ReferenceData!$AJ$27),"")</f>
        <v>293359</v>
      </c>
      <c r="AK27">
        <f ca="1">IFERROR(IF(0=LEN(ReferenceData!$AK$27),"",ReferenceData!$AK$27),"")</f>
        <v>289982</v>
      </c>
      <c r="AL27">
        <f ca="1">IFERROR(IF(0=LEN(ReferenceData!$AL$27),"",ReferenceData!$AL$27),"")</f>
        <v>299168</v>
      </c>
      <c r="AM27">
        <f ca="1">IFERROR(IF(0=LEN(ReferenceData!$AM$27),"",ReferenceData!$AM$27),"")</f>
        <v>307533</v>
      </c>
      <c r="AN27">
        <f ca="1">IFERROR(IF(0=LEN(ReferenceData!$AN$27),"",ReferenceData!$AN$27),"")</f>
        <v>312241</v>
      </c>
      <c r="AO27">
        <f ca="1">IFERROR(IF(0=LEN(ReferenceData!$AO$27),"",ReferenceData!$AO$27),"")</f>
        <v>308243</v>
      </c>
      <c r="AP27">
        <f ca="1">IFERROR(IF(0=LEN(ReferenceData!$AP$27),"",ReferenceData!$AP$27),"")</f>
        <v>299136</v>
      </c>
      <c r="AQ27">
        <f ca="1">IFERROR(IF(0=LEN(ReferenceData!$AQ$27),"",ReferenceData!$AQ$27),"")</f>
        <v>302117</v>
      </c>
      <c r="AR27">
        <f ca="1">IFERROR(IF(0=LEN(ReferenceData!$AR$27),"",ReferenceData!$AR$27),"")</f>
        <v>295570</v>
      </c>
      <c r="AS27">
        <f ca="1">IFERROR(IF(0=LEN(ReferenceData!$AS$27),"",ReferenceData!$AS$27),"")</f>
        <v>296736</v>
      </c>
      <c r="AT27">
        <f ca="1">IFERROR(IF(0=LEN(ReferenceData!$AT$27),"",ReferenceData!$AT$27),"")</f>
        <v>300143</v>
      </c>
      <c r="AU27">
        <f ca="1">IFERROR(IF(0=LEN(ReferenceData!$AU$27),"",ReferenceData!$AU$27),"")</f>
        <v>298678</v>
      </c>
      <c r="AV27">
        <f ca="1">IFERROR(IF(0=LEN(ReferenceData!$AV$27),"",ReferenceData!$AV$27),"")</f>
        <v>292578</v>
      </c>
      <c r="AW27">
        <f ca="1">IFERROR(IF(0=LEN(ReferenceData!$AW$27),"",ReferenceData!$AW$27),"")</f>
        <v>290937</v>
      </c>
      <c r="AX27">
        <f ca="1">IFERROR(IF(0=LEN(ReferenceData!$AX$27),"",ReferenceData!$AX$27),"")</f>
        <v>286511</v>
      </c>
      <c r="AY27">
        <f ca="1">IFERROR(IF(0=LEN(ReferenceData!$AY$27),"",ReferenceData!$AY$27),"")</f>
        <v>279877</v>
      </c>
      <c r="AZ27">
        <f ca="1">IFERROR(IF(0=LEN(ReferenceData!$AZ$27),"",ReferenceData!$AZ$27),"")</f>
        <v>277378</v>
      </c>
      <c r="BA27">
        <f ca="1">IFERROR(IF(0=LEN(ReferenceData!$BA$27),"",ReferenceData!$BA$27),"")</f>
        <v>281749</v>
      </c>
      <c r="BB27">
        <f ca="1">IFERROR(IF(0=LEN(ReferenceData!$BB$27),"",ReferenceData!$BB$27),"")</f>
        <v>288695</v>
      </c>
      <c r="BC27">
        <f ca="1">IFERROR(IF(0=LEN(ReferenceData!$BC$27),"",ReferenceData!$BC$27),"")</f>
        <v>271261</v>
      </c>
      <c r="BD27">
        <f ca="1">IFERROR(IF(0=LEN(ReferenceData!$BD$27),"",ReferenceData!$BD$27),"")</f>
        <v>279586</v>
      </c>
      <c r="BE27">
        <f ca="1">IFERROR(IF(0=LEN(ReferenceData!$BE$27),"",ReferenceData!$BE$27),"")</f>
        <v>270583</v>
      </c>
      <c r="BF27">
        <f ca="1">IFERROR(IF(0=LEN(ReferenceData!$BF$27),"",ReferenceData!$BF$27),"")</f>
        <v>265204</v>
      </c>
      <c r="BG27">
        <f ca="1">IFERROR(IF(0=LEN(ReferenceData!$BG$27),"",ReferenceData!$BG$27),"")</f>
        <v>258361</v>
      </c>
      <c r="BH27">
        <f ca="1">IFERROR(IF(0=LEN(ReferenceData!$BH$27),"",ReferenceData!$BH$27),"")</f>
        <v>277831</v>
      </c>
      <c r="BI27">
        <f ca="1">IFERROR(IF(0=LEN(ReferenceData!$BI$27),"",ReferenceData!$BI$27),"")</f>
        <v>294638</v>
      </c>
      <c r="BJ27">
        <f ca="1">IFERROR(IF(0=LEN(ReferenceData!$BJ$27),"",ReferenceData!$BJ$27),"")</f>
        <v>274422</v>
      </c>
      <c r="BK27">
        <f ca="1">IFERROR(IF(0=LEN(ReferenceData!$BK$27),"",ReferenceData!$BK$27),"")</f>
        <v>296527</v>
      </c>
      <c r="BL27">
        <f ca="1">IFERROR(IF(0=LEN(ReferenceData!$BL$27),"",ReferenceData!$BL$27),"")</f>
        <v>270587</v>
      </c>
      <c r="BM27" t="str">
        <f ca="1">IFERROR(IF(0=LEN(ReferenceData!$BM$27),"",ReferenceData!$BM$27),"")</f>
        <v/>
      </c>
    </row>
    <row r="28" spans="1:65" x14ac:dyDescent="0.25">
      <c r="A28" t="str">
        <f>IFERROR(IF(0=LEN(ReferenceData!$A$28),"",ReferenceData!$A$28),"")</f>
        <v xml:space="preserve">                Citizens Financial Group Inc</v>
      </c>
      <c r="B28" t="str">
        <f>IFERROR(IF(0=LEN(ReferenceData!$B$28),"",ReferenceData!$B$28),"")</f>
        <v>CFG US Equity</v>
      </c>
      <c r="C28" t="str">
        <f>IFERROR(IF(0=LEN(ReferenceData!$C$28),"",ReferenceData!$C$28),"")</f>
        <v>FC471</v>
      </c>
      <c r="D28" t="str">
        <f>IFERROR(IF(0=LEN(ReferenceData!$D$28),"",ReferenceData!$D$28),"")</f>
        <v>FDIC_SECS_AVAIL_FOR_SALE_MKT_VAL</v>
      </c>
      <c r="E28" t="str">
        <f>IFERROR(IF(0=LEN(ReferenceData!$E$28),"",ReferenceData!$E$28),"")</f>
        <v>Dynamic</v>
      </c>
      <c r="F28">
        <f ca="1">IFERROR(IF(0=LEN(ReferenceData!$F$28),"",ReferenceData!$F$28),"")</f>
        <v>32764.804</v>
      </c>
      <c r="G28">
        <f ca="1">IFERROR(IF(0=LEN(ReferenceData!$G$28),"",ReferenceData!$G$28),"")</f>
        <v>32834.57</v>
      </c>
      <c r="H28">
        <f ca="1">IFERROR(IF(0=LEN(ReferenceData!$H$28),"",ReferenceData!$H$28),"")</f>
        <v>31938.107</v>
      </c>
      <c r="I28">
        <f ca="1">IFERROR(IF(0=LEN(ReferenceData!$I$28),"",ReferenceData!$I$28),"")</f>
        <v>31186.589</v>
      </c>
      <c r="J28">
        <f ca="1">IFERROR(IF(0=LEN(ReferenceData!$J$28),"",ReferenceData!$J$28),"")</f>
        <v>29777.315999999999</v>
      </c>
      <c r="K28">
        <f ca="1">IFERROR(IF(0=LEN(ReferenceData!$K$28),"",ReferenceData!$K$28),"")</f>
        <v>25068.662</v>
      </c>
      <c r="L28">
        <f ca="1">IFERROR(IF(0=LEN(ReferenceData!$L$28),"",ReferenceData!$L$28),"")</f>
        <v>24754.548999999999</v>
      </c>
      <c r="M28">
        <f ca="1">IFERROR(IF(0=LEN(ReferenceData!$M$28),"",ReferenceData!$M$28),"")</f>
        <v>23844.717000000001</v>
      </c>
      <c r="N28">
        <f ca="1">IFERROR(IF(0=LEN(ReferenceData!$N$28),"",ReferenceData!$N$28),"")</f>
        <v>24006.589</v>
      </c>
      <c r="O28">
        <f ca="1">IFERROR(IF(0=LEN(ReferenceData!$O$28),"",ReferenceData!$O$28),"")</f>
        <v>23477.708999999999</v>
      </c>
      <c r="P28">
        <f ca="1">IFERROR(IF(0=LEN(ReferenceData!$P$28),"",ReferenceData!$P$28),"")</f>
        <v>24961.437000000002</v>
      </c>
      <c r="Q28">
        <f ca="1">IFERROR(IF(0=LEN(ReferenceData!$Q$28),"",ReferenceData!$Q$28),"")</f>
        <v>25318.882000000001</v>
      </c>
      <c r="R28">
        <f ca="1">IFERROR(IF(0=LEN(ReferenceData!$R$28),"",ReferenceData!$R$28),"")</f>
        <v>26066.771000000001</v>
      </c>
      <c r="S28">
        <f ca="1">IFERROR(IF(0=LEN(ReferenceData!$S$28),"",ReferenceData!$S$28),"")</f>
        <v>24910.557000000001</v>
      </c>
      <c r="T28">
        <f ca="1">IFERROR(IF(0=LEN(ReferenceData!$T$28),"",ReferenceData!$T$28),"")</f>
        <v>24583.025000000001</v>
      </c>
      <c r="U28">
        <f ca="1">IFERROR(IF(0=LEN(ReferenceData!$U$28),"",ReferenceData!$U$28),"")</f>
        <v>24466.614000000001</v>
      </c>
      <c r="V28">
        <f ca="1">IFERROR(IF(0=LEN(ReferenceData!$V$28),"",ReferenceData!$V$28),"")</f>
        <v>22942.361000000001</v>
      </c>
      <c r="W28">
        <f ca="1">IFERROR(IF(0=LEN(ReferenceData!$W$28),"",ReferenceData!$W$28),"")</f>
        <v>22884.384999999998</v>
      </c>
      <c r="X28">
        <f ca="1">IFERROR(IF(0=LEN(ReferenceData!$X$28),"",ReferenceData!$X$28),"")</f>
        <v>22143.732</v>
      </c>
      <c r="Y28">
        <f ca="1">IFERROR(IF(0=LEN(ReferenceData!$Y$28),"",ReferenceData!$Y$28),"")</f>
        <v>22307.134999999998</v>
      </c>
      <c r="Z28">
        <f ca="1">IFERROR(IF(0=LEN(ReferenceData!$Z$28),"",ReferenceData!$Z$28),"")</f>
        <v>20612.674999999999</v>
      </c>
      <c r="AA28">
        <f ca="1">IFERROR(IF(0=LEN(ReferenceData!$AA$28),"",ReferenceData!$AA$28),"")</f>
        <v>21502.073</v>
      </c>
      <c r="AB28">
        <f ca="1">IFERROR(IF(0=LEN(ReferenceData!$AB$28),"",ReferenceData!$AB$28),"")</f>
        <v>21697.963</v>
      </c>
      <c r="AC28">
        <f ca="1">IFERROR(IF(0=LEN(ReferenceData!$AC$28),"",ReferenceData!$AC$28),"")</f>
        <v>21503.913</v>
      </c>
      <c r="AD28">
        <f ca="1">IFERROR(IF(0=LEN(ReferenceData!$AD$28),"",ReferenceData!$AD$28),"")</f>
        <v>19894.929</v>
      </c>
      <c r="AE28">
        <f ca="1">IFERROR(IF(0=LEN(ReferenceData!$AE$28),"",ReferenceData!$AE$28),"")</f>
        <v>20152.171999999999</v>
      </c>
      <c r="AF28">
        <f ca="1">IFERROR(IF(0=LEN(ReferenceData!$AF$28),"",ReferenceData!$AF$28),"")</f>
        <v>20156.664000000001</v>
      </c>
      <c r="AG28">
        <f ca="1">IFERROR(IF(0=LEN(ReferenceData!$AG$28),"",ReferenceData!$AG$28),"")</f>
        <v>19957.912</v>
      </c>
      <c r="AH28">
        <f ca="1">IFERROR(IF(0=LEN(ReferenceData!$AH$28),"",ReferenceData!$AH$28),"")</f>
        <v>20157.085999999999</v>
      </c>
      <c r="AI28">
        <f ca="1">IFERROR(IF(0=LEN(ReferenceData!$AI$28),"",ReferenceData!$AI$28),"")</f>
        <v>19982.162</v>
      </c>
      <c r="AJ28">
        <f ca="1">IFERROR(IF(0=LEN(ReferenceData!$AJ$28),"",ReferenceData!$AJ$28),"")</f>
        <v>19257.489000000001</v>
      </c>
      <c r="AK28">
        <f ca="1">IFERROR(IF(0=LEN(ReferenceData!$AK$28),"",ReferenceData!$AK$28),"")</f>
        <v>19964.079000000002</v>
      </c>
      <c r="AL28">
        <f ca="1">IFERROR(IF(0=LEN(ReferenceData!$AL$28),"",ReferenceData!$AL$28),"")</f>
        <v>19484.053</v>
      </c>
      <c r="AM28">
        <f ca="1">IFERROR(IF(0=LEN(ReferenceData!$AM$28),"",ReferenceData!$AM$28),"")</f>
        <v>19408.246999999999</v>
      </c>
      <c r="AN28">
        <f ca="1">IFERROR(IF(0=LEN(ReferenceData!$AN$28),"",ReferenceData!$AN$28),"")</f>
        <v>18461.353999999999</v>
      </c>
      <c r="AO28">
        <f ca="1">IFERROR(IF(0=LEN(ReferenceData!$AO$28),"",ReferenceData!$AO$28),"")</f>
        <v>17946.612000000001</v>
      </c>
      <c r="AP28">
        <f ca="1">IFERROR(IF(0=LEN(ReferenceData!$AP$28),"",ReferenceData!$AP$28),"")</f>
        <v>17866.702000000001</v>
      </c>
      <c r="AQ28">
        <f ca="1">IFERROR(IF(0=LEN(ReferenceData!$AQ$28),"",ReferenceData!$AQ$28),"")</f>
        <v>18179.499</v>
      </c>
      <c r="AR28">
        <f ca="1">IFERROR(IF(0=LEN(ReferenceData!$AR$28),"",ReferenceData!$AR$28),"")</f>
        <v>18645.18</v>
      </c>
      <c r="AS28">
        <f ca="1">IFERROR(IF(0=LEN(ReferenceData!$AS$28),"",ReferenceData!$AS$28),"")</f>
        <v>19023.800999999999</v>
      </c>
      <c r="AT28">
        <f ca="1">IFERROR(IF(0=LEN(ReferenceData!$AT$28),"",ReferenceData!$AT$28),"")</f>
        <v>18638.577000000001</v>
      </c>
      <c r="AU28">
        <f ca="1">IFERROR(IF(0=LEN(ReferenceData!$AU$28),"",ReferenceData!$AU$28),"")</f>
        <v>18649.473999999998</v>
      </c>
      <c r="AV28">
        <f ca="1">IFERROR(IF(0=LEN(ReferenceData!$AV$28),"",ReferenceData!$AV$28),"")</f>
        <v>18476.127</v>
      </c>
      <c r="AW28">
        <f ca="1">IFERROR(IF(0=LEN(ReferenceData!$AW$28),"",ReferenceData!$AW$28),"")</f>
        <v>18395.395</v>
      </c>
      <c r="AX28">
        <f ca="1">IFERROR(IF(0=LEN(ReferenceData!$AX$28),"",ReferenceData!$AX$28),"")</f>
        <v>15977.601000000001</v>
      </c>
      <c r="AY28">
        <f ca="1">IFERROR(IF(0=LEN(ReferenceData!$AY$28),"",ReferenceData!$AY$28),"")</f>
        <v>19871.34</v>
      </c>
      <c r="AZ28">
        <f ca="1">IFERROR(IF(0=LEN(ReferenceData!$AZ$28),"",ReferenceData!$AZ$28),"")</f>
        <v>16416.563999999998</v>
      </c>
      <c r="BA28">
        <f ca="1">IFERROR(IF(0=LEN(ReferenceData!$BA$28),"",ReferenceData!$BA$28),"")</f>
        <v>17054.381000000001</v>
      </c>
      <c r="BB28">
        <f ca="1">IFERROR(IF(0=LEN(ReferenceData!$BB$28),"",ReferenceData!$BB$28),"")</f>
        <v>18343.530999999999</v>
      </c>
      <c r="BC28">
        <f ca="1">IFERROR(IF(0=LEN(ReferenceData!$BC$28),"",ReferenceData!$BC$28),"")</f>
        <v>20256.066999999999</v>
      </c>
      <c r="BD28">
        <f ca="1">IFERROR(IF(0=LEN(ReferenceData!$BD$28),"",ReferenceData!$BD$28),"")</f>
        <v>21082.25</v>
      </c>
      <c r="BE28">
        <f ca="1">IFERROR(IF(0=LEN(ReferenceData!$BE$28),"",ReferenceData!$BE$28),"")</f>
        <v>21695.455999999998</v>
      </c>
      <c r="BF28">
        <f ca="1">IFERROR(IF(0=LEN(ReferenceData!$BF$28),"",ReferenceData!$BF$28),"")</f>
        <v>22137.342000000001</v>
      </c>
      <c r="BG28">
        <f ca="1">IFERROR(IF(0=LEN(ReferenceData!$BG$28),"",ReferenceData!$BG$28),"")</f>
        <v>20891.615000000002</v>
      </c>
      <c r="BH28">
        <f ca="1">IFERROR(IF(0=LEN(ReferenceData!$BH$28),"",ReferenceData!$BH$28),"")</f>
        <v>21776.703000000001</v>
      </c>
      <c r="BI28">
        <f ca="1">IFERROR(IF(0=LEN(ReferenceData!$BI$28),"",ReferenceData!$BI$28),"")</f>
        <v>22552.112000000001</v>
      </c>
      <c r="BJ28">
        <f ca="1">IFERROR(IF(0=LEN(ReferenceData!$BJ$28),"",ReferenceData!$BJ$28),"")</f>
        <v>20534.542000000001</v>
      </c>
      <c r="BK28">
        <f ca="1">IFERROR(IF(0=LEN(ReferenceData!$BK$28),"",ReferenceData!$BK$28),"")</f>
        <v>19260.206999999999</v>
      </c>
      <c r="BL28">
        <f ca="1">IFERROR(IF(0=LEN(ReferenceData!$BL$28),"",ReferenceData!$BL$28),"")</f>
        <v>25607.01</v>
      </c>
      <c r="BM28" t="str">
        <f ca="1">IFERROR(IF(0=LEN(ReferenceData!$BM$28),"",ReferenceData!$BM$28),"")</f>
        <v/>
      </c>
    </row>
    <row r="29" spans="1:65" x14ac:dyDescent="0.25">
      <c r="A29" t="str">
        <f>IFERROR(IF(0=LEN(ReferenceData!$A$29),"",ReferenceData!$A$29),"")</f>
        <v xml:space="preserve">                Capital One Financial Corp</v>
      </c>
      <c r="B29" t="str">
        <f>IFERROR(IF(0=LEN(ReferenceData!$B$29),"",ReferenceData!$B$29),"")</f>
        <v>COF US Equity</v>
      </c>
      <c r="C29" t="str">
        <f>IFERROR(IF(0=LEN(ReferenceData!$C$29),"",ReferenceData!$C$29),"")</f>
        <v>FC471</v>
      </c>
      <c r="D29" t="str">
        <f>IFERROR(IF(0=LEN(ReferenceData!$D$29),"",ReferenceData!$D$29),"")</f>
        <v>FDIC_SECS_AVAIL_FOR_SALE_MKT_VAL</v>
      </c>
      <c r="E29" t="str">
        <f>IFERROR(IF(0=LEN(ReferenceData!$E$29),"",ReferenceData!$E$29),"")</f>
        <v>Dynamic</v>
      </c>
      <c r="F29">
        <f ca="1">IFERROR(IF(0=LEN(ReferenceData!$F$29),"",ReferenceData!$F$29),"")</f>
        <v>83013.192999999999</v>
      </c>
      <c r="G29">
        <f ca="1">IFERROR(IF(0=LEN(ReferenceData!$G$29),"",ReferenceData!$G$29),"")</f>
        <v>83500.428</v>
      </c>
      <c r="H29">
        <f ca="1">IFERROR(IF(0=LEN(ReferenceData!$H$29),"",ReferenceData!$H$29),"")</f>
        <v>79250.093999999997</v>
      </c>
      <c r="I29">
        <f ca="1">IFERROR(IF(0=LEN(ReferenceData!$I$29),"",ReferenceData!$I$29),"")</f>
        <v>78397.607000000004</v>
      </c>
      <c r="J29">
        <f ca="1">IFERROR(IF(0=LEN(ReferenceData!$J$29),"",ReferenceData!$J$29),"")</f>
        <v>79116.904999999999</v>
      </c>
      <c r="K29">
        <f ca="1">IFERROR(IF(0=LEN(ReferenceData!$K$29),"",ReferenceData!$K$29),"")</f>
        <v>74837.17</v>
      </c>
      <c r="L29">
        <f ca="1">IFERROR(IF(0=LEN(ReferenceData!$L$29),"",ReferenceData!$L$29),"")</f>
        <v>78411.740999999995</v>
      </c>
      <c r="M29">
        <f ca="1">IFERROR(IF(0=LEN(ReferenceData!$M$29),"",ReferenceData!$M$29),"")</f>
        <v>81925.274000000005</v>
      </c>
      <c r="N29">
        <f ca="1">IFERROR(IF(0=LEN(ReferenceData!$N$29),"",ReferenceData!$N$29),"")</f>
        <v>76918.626999999993</v>
      </c>
      <c r="O29">
        <f ca="1">IFERROR(IF(0=LEN(ReferenceData!$O$29),"",ReferenceData!$O$29),"")</f>
        <v>75302.820999999996</v>
      </c>
      <c r="P29">
        <f ca="1">IFERROR(IF(0=LEN(ReferenceData!$P$29),"",ReferenceData!$P$29),"")</f>
        <v>83022.126999999993</v>
      </c>
      <c r="Q29">
        <f ca="1">IFERROR(IF(0=LEN(ReferenceData!$Q$29),"",ReferenceData!$Q$29),"")</f>
        <v>89076.012000000002</v>
      </c>
      <c r="R29">
        <f ca="1">IFERROR(IF(0=LEN(ReferenceData!$R$29),"",ReferenceData!$R$29),"")</f>
        <v>95260.739000000001</v>
      </c>
      <c r="S29">
        <f ca="1">IFERROR(IF(0=LEN(ReferenceData!$S$29),"",ReferenceData!$S$29),"")</f>
        <v>98148.701000000001</v>
      </c>
      <c r="T29">
        <f ca="1">IFERROR(IF(0=LEN(ReferenceData!$T$29),"",ReferenceData!$T$29),"")</f>
        <v>101765.87699999999</v>
      </c>
      <c r="U29">
        <f ca="1">IFERROR(IF(0=LEN(ReferenceData!$U$29),"",ReferenceData!$U$29),"")</f>
        <v>99165.066999999995</v>
      </c>
      <c r="V29">
        <f ca="1">IFERROR(IF(0=LEN(ReferenceData!$V$29),"",ReferenceData!$V$29),"")</f>
        <v>100444.936</v>
      </c>
      <c r="W29">
        <f ca="1">IFERROR(IF(0=LEN(ReferenceData!$W$29),"",ReferenceData!$W$29),"")</f>
        <v>99852.72</v>
      </c>
      <c r="X29">
        <f ca="1">IFERROR(IF(0=LEN(ReferenceData!$X$29),"",ReferenceData!$X$29),"")</f>
        <v>87858.527000000002</v>
      </c>
      <c r="Y29">
        <f ca="1">IFERROR(IF(0=LEN(ReferenceData!$Y$29),"",ReferenceData!$Y$29),"")</f>
        <v>81423.326000000001</v>
      </c>
      <c r="Z29">
        <f ca="1">IFERROR(IF(0=LEN(ReferenceData!$Z$29),"",ReferenceData!$Z$29),"")</f>
        <v>79213.357999999993</v>
      </c>
      <c r="AA29">
        <f ca="1">IFERROR(IF(0=LEN(ReferenceData!$AA$29),"",ReferenceData!$AA$29),"")</f>
        <v>46217.607000000004</v>
      </c>
      <c r="AB29">
        <f ca="1">IFERROR(IF(0=LEN(ReferenceData!$AB$29),"",ReferenceData!$AB$29),"")</f>
        <v>45657.904000000002</v>
      </c>
      <c r="AC29">
        <f ca="1">IFERROR(IF(0=LEN(ReferenceData!$AC$29),"",ReferenceData!$AC$29),"")</f>
        <v>45888.267</v>
      </c>
      <c r="AD29">
        <f ca="1">IFERROR(IF(0=LEN(ReferenceData!$AD$29),"",ReferenceData!$AD$29),"")</f>
        <v>46149.624000000003</v>
      </c>
      <c r="AE29">
        <f ca="1">IFERROR(IF(0=LEN(ReferenceData!$AE$29),"",ReferenceData!$AE$29),"")</f>
        <v>47384.35</v>
      </c>
      <c r="AF29">
        <f ca="1">IFERROR(IF(0=LEN(ReferenceData!$AF$29),"",ReferenceData!$AF$29),"")</f>
        <v>50691.188999999998</v>
      </c>
      <c r="AG29">
        <f ca="1">IFERROR(IF(0=LEN(ReferenceData!$AG$29),"",ReferenceData!$AG$29),"")</f>
        <v>47152.796999999999</v>
      </c>
      <c r="AH29">
        <f ca="1">IFERROR(IF(0=LEN(ReferenceData!$AH$29),"",ReferenceData!$AH$29),"")</f>
        <v>37758.336000000003</v>
      </c>
      <c r="AI29">
        <f ca="1">IFERROR(IF(0=LEN(ReferenceData!$AI$29),"",ReferenceData!$AI$29),"")</f>
        <v>39811.587</v>
      </c>
      <c r="AJ29">
        <f ca="1">IFERROR(IF(0=LEN(ReferenceData!$AJ$29),"",ReferenceData!$AJ$29),"")</f>
        <v>41186.620000000003</v>
      </c>
      <c r="AK29">
        <f ca="1">IFERROR(IF(0=LEN(ReferenceData!$AK$29),"",ReferenceData!$AK$29),"")</f>
        <v>41322.82</v>
      </c>
      <c r="AL29">
        <f ca="1">IFERROR(IF(0=LEN(ReferenceData!$AL$29),"",ReferenceData!$AL$29),"")</f>
        <v>40799.824000000001</v>
      </c>
      <c r="AM29">
        <f ca="1">IFERROR(IF(0=LEN(ReferenceData!$AM$29),"",ReferenceData!$AM$29),"")</f>
        <v>41567.010999999999</v>
      </c>
      <c r="AN29">
        <f ca="1">IFERROR(IF(0=LEN(ReferenceData!$AN$29),"",ReferenceData!$AN$29),"")</f>
        <v>39958.779000000002</v>
      </c>
      <c r="AO29">
        <f ca="1">IFERROR(IF(0=LEN(ReferenceData!$AO$29),"",ReferenceData!$AO$29),"")</f>
        <v>40090.521000000001</v>
      </c>
      <c r="AP29">
        <f ca="1">IFERROR(IF(0=LEN(ReferenceData!$AP$29),"",ReferenceData!$AP$29),"")</f>
        <v>39059.531000000003</v>
      </c>
      <c r="AQ29">
        <f ca="1">IFERROR(IF(0=LEN(ReferenceData!$AQ$29),"",ReferenceData!$AQ$29),"")</f>
        <v>39430.760999999999</v>
      </c>
      <c r="AR29">
        <f ca="1">IFERROR(IF(0=LEN(ReferenceData!$AR$29),"",ReferenceData!$AR$29),"")</f>
        <v>39135.025999999998</v>
      </c>
      <c r="AS29">
        <f ca="1">IFERROR(IF(0=LEN(ReferenceData!$AS$29),"",ReferenceData!$AS$29),"")</f>
        <v>39319.163</v>
      </c>
      <c r="AT29">
        <f ca="1">IFERROR(IF(0=LEN(ReferenceData!$AT$29),"",ReferenceData!$AT$29),"")</f>
        <v>39506.811999999998</v>
      </c>
      <c r="AU29">
        <f ca="1">IFERROR(IF(0=LEN(ReferenceData!$AU$29),"",ReferenceData!$AU$29),"")</f>
        <v>39663.669000000002</v>
      </c>
      <c r="AV29">
        <f ca="1">IFERROR(IF(0=LEN(ReferenceData!$AV$29),"",ReferenceData!$AV$29),"")</f>
        <v>41111.17</v>
      </c>
      <c r="AW29">
        <f ca="1">IFERROR(IF(0=LEN(ReferenceData!$AW$29),"",ReferenceData!$AW$29),"")</f>
        <v>40718.781000000003</v>
      </c>
      <c r="AX29">
        <f ca="1">IFERROR(IF(0=LEN(ReferenceData!$AX$29),"",ReferenceData!$AX$29),"")</f>
        <v>41797.987999999998</v>
      </c>
      <c r="AY29">
        <f ca="1">IFERROR(IF(0=LEN(ReferenceData!$AY$29),"",ReferenceData!$AY$29),"")</f>
        <v>43130.841999999997</v>
      </c>
      <c r="AZ29">
        <f ca="1">IFERROR(IF(0=LEN(ReferenceData!$AZ$29),"",ReferenceData!$AZ$29),"")</f>
        <v>62600.260999999999</v>
      </c>
      <c r="BA29">
        <f ca="1">IFERROR(IF(0=LEN(ReferenceData!$BA$29),"",ReferenceData!$BA$29),"")</f>
        <v>64117.466</v>
      </c>
      <c r="BB29">
        <f ca="1">IFERROR(IF(0=LEN(ReferenceData!$BB$29),"",ReferenceData!$BB$29),"")</f>
        <v>64062.396999999997</v>
      </c>
      <c r="BC29">
        <f ca="1">IFERROR(IF(0=LEN(ReferenceData!$BC$29),"",ReferenceData!$BC$29),"")</f>
        <v>61575.953999999998</v>
      </c>
      <c r="BD29">
        <f ca="1">IFERROR(IF(0=LEN(ReferenceData!$BD$29),"",ReferenceData!$BD$29),"")</f>
        <v>55397.64</v>
      </c>
      <c r="BE29">
        <f ca="1">IFERROR(IF(0=LEN(ReferenceData!$BE$29),"",ReferenceData!$BE$29),"")</f>
        <v>60881.072</v>
      </c>
      <c r="BF29">
        <f ca="1">IFERROR(IF(0=LEN(ReferenceData!$BF$29),"",ReferenceData!$BF$29),"")</f>
        <v>38751.586000000003</v>
      </c>
      <c r="BG29">
        <f ca="1">IFERROR(IF(0=LEN(ReferenceData!$BG$29),"",ReferenceData!$BG$29),"")</f>
        <v>38537.264999999999</v>
      </c>
      <c r="BH29">
        <f ca="1">IFERROR(IF(0=LEN(ReferenceData!$BH$29),"",ReferenceData!$BH$29),"")</f>
        <v>39467.294999999998</v>
      </c>
      <c r="BI29">
        <f ca="1">IFERROR(IF(0=LEN(ReferenceData!$BI$29),"",ReferenceData!$BI$29),"")</f>
        <v>41559.788999999997</v>
      </c>
      <c r="BJ29">
        <f ca="1">IFERROR(IF(0=LEN(ReferenceData!$BJ$29),"",ReferenceData!$BJ$29),"")</f>
        <v>41530.574000000001</v>
      </c>
      <c r="BK29">
        <f ca="1">IFERROR(IF(0=LEN(ReferenceData!$BK$29),"",ReferenceData!$BK$29),"")</f>
        <v>40074.542999999998</v>
      </c>
      <c r="BL29">
        <f ca="1">IFERROR(IF(0=LEN(ReferenceData!$BL$29),"",ReferenceData!$BL$29),"")</f>
        <v>39566.559000000001</v>
      </c>
      <c r="BM29" t="str">
        <f ca="1">IFERROR(IF(0=LEN(ReferenceData!$BM$29),"",ReferenceData!$BM$29),"")</f>
        <v/>
      </c>
    </row>
    <row r="30" spans="1:65" x14ac:dyDescent="0.25">
      <c r="A30" t="str">
        <f>IFERROR(IF(0=LEN(ReferenceData!$A$30),"",ReferenceData!$A$30),"")</f>
        <v xml:space="preserve">                Comerica Inc</v>
      </c>
      <c r="B30" t="str">
        <f>IFERROR(IF(0=LEN(ReferenceData!$B$30),"",ReferenceData!$B$30),"")</f>
        <v>CMA US Equity</v>
      </c>
      <c r="C30" t="str">
        <f>IFERROR(IF(0=LEN(ReferenceData!$C$30),"",ReferenceData!$C$30),"")</f>
        <v>FC471</v>
      </c>
      <c r="D30" t="str">
        <f>IFERROR(IF(0=LEN(ReferenceData!$D$30),"",ReferenceData!$D$30),"")</f>
        <v>FDIC_SECS_AVAIL_FOR_SALE_MKT_VAL</v>
      </c>
      <c r="E30" t="str">
        <f>IFERROR(IF(0=LEN(ReferenceData!$E$30),"",ReferenceData!$E$30),"")</f>
        <v>Dynamic</v>
      </c>
      <c r="F30" t="str">
        <f ca="1">IFERROR(IF(0=LEN(ReferenceData!$F$30),"",ReferenceData!$F$30),"")</f>
        <v/>
      </c>
      <c r="G30" t="str">
        <f ca="1">IFERROR(IF(0=LEN(ReferenceData!$G$30),"",ReferenceData!$G$30),"")</f>
        <v/>
      </c>
      <c r="H30">
        <f ca="1">IFERROR(IF(0=LEN(ReferenceData!$H$30),"",ReferenceData!$H$30),"")</f>
        <v>15656</v>
      </c>
      <c r="I30">
        <f ca="1">IFERROR(IF(0=LEN(ReferenceData!$I$30),"",ReferenceData!$I$30),"")</f>
        <v>16245</v>
      </c>
      <c r="J30">
        <f ca="1">IFERROR(IF(0=LEN(ReferenceData!$J$30),"",ReferenceData!$J$30),"")</f>
        <v>16869</v>
      </c>
      <c r="K30">
        <f ca="1">IFERROR(IF(0=LEN(ReferenceData!$K$30),"",ReferenceData!$K$30),"")</f>
        <v>16323</v>
      </c>
      <c r="L30">
        <f ca="1">IFERROR(IF(0=LEN(ReferenceData!$L$30),"",ReferenceData!$L$30),"")</f>
        <v>17415</v>
      </c>
      <c r="M30">
        <f ca="1">IFERROR(IF(0=LEN(ReferenceData!$M$30),"",ReferenceData!$M$30),"")</f>
        <v>18295</v>
      </c>
      <c r="N30">
        <f ca="1">IFERROR(IF(0=LEN(ReferenceData!$N$30),"",ReferenceData!$N$30),"")</f>
        <v>19012</v>
      </c>
      <c r="O30">
        <f ca="1">IFERROR(IF(0=LEN(ReferenceData!$O$30),"",ReferenceData!$O$30),"")</f>
        <v>19452</v>
      </c>
      <c r="P30">
        <f ca="1">IFERROR(IF(0=LEN(ReferenceData!$P$30),"",ReferenceData!$P$30),"")</f>
        <v>20829</v>
      </c>
      <c r="Q30">
        <f ca="1">IFERROR(IF(0=LEN(ReferenceData!$Q$30),"",ReferenceData!$Q$30),"")</f>
        <v>18810</v>
      </c>
      <c r="R30">
        <f ca="1">IFERROR(IF(0=LEN(ReferenceData!$R$30),"",ReferenceData!$R$30),"")</f>
        <v>16986</v>
      </c>
      <c r="S30">
        <f ca="1">IFERROR(IF(0=LEN(ReferenceData!$S$30),"",ReferenceData!$S$30),"")</f>
        <v>16846</v>
      </c>
      <c r="T30">
        <f ca="1">IFERROR(IF(0=LEN(ReferenceData!$T$30),"",ReferenceData!$T$30),"")</f>
        <v>15837</v>
      </c>
      <c r="U30">
        <f ca="1">IFERROR(IF(0=LEN(ReferenceData!$U$30),"",ReferenceData!$U$30),"")</f>
        <v>15595</v>
      </c>
      <c r="V30">
        <f ca="1">IFERROR(IF(0=LEN(ReferenceData!$V$30),"",ReferenceData!$V$30),"")</f>
        <v>15028</v>
      </c>
      <c r="W30">
        <f ca="1">IFERROR(IF(0=LEN(ReferenceData!$W$30),"",ReferenceData!$W$30),"")</f>
        <v>15090</v>
      </c>
      <c r="X30">
        <f ca="1">IFERROR(IF(0=LEN(ReferenceData!$X$30),"",ReferenceData!$X$30),"")</f>
        <v>12759</v>
      </c>
      <c r="Y30">
        <f ca="1">IFERROR(IF(0=LEN(ReferenceData!$Y$30),"",ReferenceData!$Y$30),"")</f>
        <v>13041</v>
      </c>
      <c r="Z30">
        <f ca="1">IFERROR(IF(0=LEN(ReferenceData!$Z$30),"",ReferenceData!$Z$30),"")</f>
        <v>12398</v>
      </c>
      <c r="AA30">
        <f ca="1">IFERROR(IF(0=LEN(ReferenceData!$AA$30),"",ReferenceData!$AA$30),"")</f>
        <v>12429</v>
      </c>
      <c r="AB30">
        <f ca="1">IFERROR(IF(0=LEN(ReferenceData!$AB$30),"",ReferenceData!$AB$30),"")</f>
        <v>12338</v>
      </c>
      <c r="AC30">
        <f ca="1">IFERROR(IF(0=LEN(ReferenceData!$AC$30),"",ReferenceData!$AC$30),"")</f>
        <v>12212</v>
      </c>
      <c r="AD30">
        <f ca="1">IFERROR(IF(0=LEN(ReferenceData!$AD$30),"",ReferenceData!$AD$30),"")</f>
        <v>12044.833000000001</v>
      </c>
      <c r="AE30">
        <f ca="1">IFERROR(IF(0=LEN(ReferenceData!$AE$30),"",ReferenceData!$AE$30),"")</f>
        <v>11861.661</v>
      </c>
      <c r="AF30">
        <f ca="1">IFERROR(IF(0=LEN(ReferenceData!$AF$30),"",ReferenceData!$AF$30),"")</f>
        <v>11914.86</v>
      </c>
      <c r="AG30">
        <f ca="1">IFERROR(IF(0=LEN(ReferenceData!$AG$30),"",ReferenceData!$AG$30),"")</f>
        <v>11971.115</v>
      </c>
      <c r="AH30">
        <f ca="1">IFERROR(IF(0=LEN(ReferenceData!$AH$30),"",ReferenceData!$AH$30),"")</f>
        <v>10937.888000000001</v>
      </c>
      <c r="AI30">
        <f ca="1">IFERROR(IF(0=LEN(ReferenceData!$AI$30),"",ReferenceData!$AI$30),"")</f>
        <v>10997.633</v>
      </c>
      <c r="AJ30">
        <f ca="1">IFERROR(IF(0=LEN(ReferenceData!$AJ$30),"",ReferenceData!$AJ$30),"")</f>
        <v>10943.887000000001</v>
      </c>
      <c r="AK30">
        <f ca="1">IFERROR(IF(0=LEN(ReferenceData!$AK$30),"",ReferenceData!$AK$30),"")</f>
        <v>10829.814</v>
      </c>
      <c r="AL30">
        <f ca="1">IFERROR(IF(0=LEN(ReferenceData!$AL$30),"",ReferenceData!$AL$30),"")</f>
        <v>10786.535</v>
      </c>
      <c r="AM30">
        <f ca="1">IFERROR(IF(0=LEN(ReferenceData!$AM$30),"",ReferenceData!$AM$30),"")</f>
        <v>10789.261</v>
      </c>
      <c r="AN30">
        <f ca="1">IFERROR(IF(0=LEN(ReferenceData!$AN$30),"",ReferenceData!$AN$30),"")</f>
        <v>10711.936</v>
      </c>
      <c r="AO30">
        <f ca="1">IFERROR(IF(0=LEN(ReferenceData!$AO$30),"",ReferenceData!$AO$30),"")</f>
        <v>10606.41</v>
      </c>
      <c r="AP30">
        <f ca="1">IFERROR(IF(0=LEN(ReferenceData!$AP$30),"",ReferenceData!$AP$30),"")</f>
        <v>10519.111999999999</v>
      </c>
      <c r="AQ30">
        <f ca="1">IFERROR(IF(0=LEN(ReferenceData!$AQ$30),"",ReferenceData!$AQ$30),"")</f>
        <v>8748.6440000000002</v>
      </c>
      <c r="AR30">
        <f ca="1">IFERROR(IF(0=LEN(ReferenceData!$AR$30),"",ReferenceData!$AR$30),"")</f>
        <v>8267.4249999999993</v>
      </c>
      <c r="AS30">
        <f ca="1">IFERROR(IF(0=LEN(ReferenceData!$AS$30),"",ReferenceData!$AS$30),"")</f>
        <v>8213.6129999999994</v>
      </c>
      <c r="AT30">
        <f ca="1">IFERROR(IF(0=LEN(ReferenceData!$AT$30),"",ReferenceData!$AT$30),"")</f>
        <v>8115.7839999999997</v>
      </c>
      <c r="AU30">
        <f ca="1">IFERROR(IF(0=LEN(ReferenceData!$AU$30),"",ReferenceData!$AU$30),"")</f>
        <v>9468.4770000000008</v>
      </c>
      <c r="AV30">
        <f ca="1">IFERROR(IF(0=LEN(ReferenceData!$AV$30),"",ReferenceData!$AV$30),"")</f>
        <v>9534.2690000000002</v>
      </c>
      <c r="AW30">
        <f ca="1">IFERROR(IF(0=LEN(ReferenceData!$AW$30),"",ReferenceData!$AW$30),"")</f>
        <v>9486.9150000000009</v>
      </c>
      <c r="AX30">
        <f ca="1">IFERROR(IF(0=LEN(ReferenceData!$AX$30),"",ReferenceData!$AX$30),"")</f>
        <v>9306.8240000000005</v>
      </c>
      <c r="AY30">
        <f ca="1">IFERROR(IF(0=LEN(ReferenceData!$AY$30),"",ReferenceData!$AY$30),"")</f>
        <v>9487.8070000000007</v>
      </c>
      <c r="AZ30">
        <f ca="1">IFERROR(IF(0=LEN(ReferenceData!$AZ$30),"",ReferenceData!$AZ$30),"")</f>
        <v>9630.8960000000006</v>
      </c>
      <c r="BA30">
        <f ca="1">IFERROR(IF(0=LEN(ReferenceData!$BA$30),"",ReferenceData!$BA$30),"")</f>
        <v>10285.710999999999</v>
      </c>
      <c r="BB30">
        <f ca="1">IFERROR(IF(0=LEN(ReferenceData!$BB$30),"",ReferenceData!$BB$30),"")</f>
        <v>10296.532999999999</v>
      </c>
      <c r="BC30">
        <f ca="1">IFERROR(IF(0=LEN(ReferenceData!$BC$30),"",ReferenceData!$BC$30),"")</f>
        <v>10569.708000000001</v>
      </c>
      <c r="BD30">
        <f ca="1">IFERROR(IF(0=LEN(ReferenceData!$BD$30),"",ReferenceData!$BD$30),"")</f>
        <v>9939.7080000000005</v>
      </c>
      <c r="BE30">
        <f ca="1">IFERROR(IF(0=LEN(ReferenceData!$BE$30),"",ReferenceData!$BE$30),"")</f>
        <v>10060.642</v>
      </c>
      <c r="BF30">
        <f ca="1">IFERROR(IF(0=LEN(ReferenceData!$BF$30),"",ReferenceData!$BF$30),"")</f>
        <v>10103.412</v>
      </c>
      <c r="BG30">
        <f ca="1">IFERROR(IF(0=LEN(ReferenceData!$BG$30),"",ReferenceData!$BG$30),"")</f>
        <v>9731.9220000000005</v>
      </c>
      <c r="BH30">
        <f ca="1">IFERROR(IF(0=LEN(ReferenceData!$BH$30),"",ReferenceData!$BH$30),"")</f>
        <v>7536.5240000000003</v>
      </c>
      <c r="BI30">
        <f ca="1">IFERROR(IF(0=LEN(ReferenceData!$BI$30),"",ReferenceData!$BI$30),"")</f>
        <v>7405.942</v>
      </c>
      <c r="BJ30">
        <f ca="1">IFERROR(IF(0=LEN(ReferenceData!$BJ$30),"",ReferenceData!$BJ$30),"")</f>
        <v>7559.9589999999998</v>
      </c>
      <c r="BK30">
        <f ca="1">IFERROR(IF(0=LEN(ReferenceData!$BK$30),"",ReferenceData!$BK$30),"")</f>
        <v>6816.02</v>
      </c>
      <c r="BL30">
        <f ca="1">IFERROR(IF(0=LEN(ReferenceData!$BL$30),"",ReferenceData!$BL$30),"")</f>
        <v>7187.9480000000003</v>
      </c>
      <c r="BM30">
        <f ca="1">IFERROR(IF(0=LEN(ReferenceData!$BM$30),"",ReferenceData!$BM$30),"")</f>
        <v>7346.2870000000003</v>
      </c>
    </row>
    <row r="31" spans="1:65" x14ac:dyDescent="0.25">
      <c r="A31" t="str">
        <f>IFERROR(IF(0=LEN(ReferenceData!$A$31),"",ReferenceData!$A$31),"")</f>
        <v xml:space="preserve">                East West Bancorp Inc</v>
      </c>
      <c r="B31" t="str">
        <f>IFERROR(IF(0=LEN(ReferenceData!$B$31),"",ReferenceData!$B$31),"")</f>
        <v>EWBC US Equity</v>
      </c>
      <c r="C31" t="str">
        <f>IFERROR(IF(0=LEN(ReferenceData!$C$31),"",ReferenceData!$C$31),"")</f>
        <v>FC471</v>
      </c>
      <c r="D31" t="str">
        <f>IFERROR(IF(0=LEN(ReferenceData!$D$31),"",ReferenceData!$D$31),"")</f>
        <v>FDIC_SECS_AVAIL_FOR_SALE_MKT_VAL</v>
      </c>
      <c r="E31" t="str">
        <f>IFERROR(IF(0=LEN(ReferenceData!$E$31),"",ReferenceData!$E$31),"")</f>
        <v>Dynamic</v>
      </c>
      <c r="F31">
        <f ca="1">IFERROR(IF(0=LEN(ReferenceData!$F$31),"",ReferenceData!$F$31),"")</f>
        <v>10846.811</v>
      </c>
      <c r="G31">
        <f ca="1">IFERROR(IF(0=LEN(ReferenceData!$G$31),"",ReferenceData!$G$31),"")</f>
        <v>10133.877</v>
      </c>
      <c r="H31">
        <f ca="1">IFERROR(IF(0=LEN(ReferenceData!$H$31),"",ReferenceData!$H$31),"")</f>
        <v>8923.5280000000002</v>
      </c>
      <c r="I31">
        <f ca="1">IFERROR(IF(0=LEN(ReferenceData!$I$31),"",ReferenceData!$I$31),"")</f>
        <v>8400.4680000000008</v>
      </c>
      <c r="J31">
        <f ca="1">IFERROR(IF(0=LEN(ReferenceData!$J$31),"",ReferenceData!$J$31),"")</f>
        <v>6188.3370000000004</v>
      </c>
      <c r="K31">
        <f ca="1">IFERROR(IF(0=LEN(ReferenceData!$K$31),"",ReferenceData!$K$31),"")</f>
        <v>6039.8370000000004</v>
      </c>
      <c r="L31">
        <f ca="1">IFERROR(IF(0=LEN(ReferenceData!$L$31),"",ReferenceData!$L$31),"")</f>
        <v>5987.2579999999998</v>
      </c>
      <c r="M31">
        <f ca="1">IFERROR(IF(0=LEN(ReferenceData!$M$31),"",ReferenceData!$M$31),"")</f>
        <v>6300.8680000000004</v>
      </c>
      <c r="N31">
        <f ca="1">IFERROR(IF(0=LEN(ReferenceData!$N$31),"",ReferenceData!$N$31),"")</f>
        <v>6034.9930000000004</v>
      </c>
      <c r="O31">
        <f ca="1">IFERROR(IF(0=LEN(ReferenceData!$O$31),"",ReferenceData!$O$31),"")</f>
        <v>5906.09</v>
      </c>
      <c r="P31">
        <f ca="1">IFERROR(IF(0=LEN(ReferenceData!$P$31),"",ReferenceData!$P$31),"")</f>
        <v>6255.5039999999999</v>
      </c>
      <c r="Q31">
        <f ca="1">IFERROR(IF(0=LEN(ReferenceData!$Q$31),"",ReferenceData!$Q$31),"")</f>
        <v>6729.4309999999996</v>
      </c>
      <c r="R31">
        <f ca="1">IFERROR(IF(0=LEN(ReferenceData!$R$31),"",ReferenceData!$R$31),"")</f>
        <v>9965.3529999999992</v>
      </c>
      <c r="S31">
        <f ca="1">IFERROR(IF(0=LEN(ReferenceData!$S$31),"",ReferenceData!$S$31),"")</f>
        <v>9713.0059999999994</v>
      </c>
      <c r="T31">
        <f ca="1">IFERROR(IF(0=LEN(ReferenceData!$T$31),"",ReferenceData!$T$31),"")</f>
        <v>8399.4599999999991</v>
      </c>
      <c r="U31">
        <f ca="1">IFERROR(IF(0=LEN(ReferenceData!$U$31),"",ReferenceData!$U$31),"")</f>
        <v>7789.2129999999997</v>
      </c>
      <c r="V31">
        <f ca="1">IFERROR(IF(0=LEN(ReferenceData!$V$31),"",ReferenceData!$V$31),"")</f>
        <v>5544.6580000000004</v>
      </c>
      <c r="W31">
        <f ca="1">IFERROR(IF(0=LEN(ReferenceData!$W$31),"",ReferenceData!$W$31),"")</f>
        <v>4539.16</v>
      </c>
      <c r="X31">
        <f ca="1">IFERROR(IF(0=LEN(ReferenceData!$X$31),"",ReferenceData!$X$31),"")</f>
        <v>3884.5740000000001</v>
      </c>
      <c r="Y31">
        <f ca="1">IFERROR(IF(0=LEN(ReferenceData!$Y$31),"",ReferenceData!$Y$31),"")</f>
        <v>3695.9430000000002</v>
      </c>
      <c r="Z31">
        <f ca="1">IFERROR(IF(0=LEN(ReferenceData!$Z$31),"",ReferenceData!$Z$31),"")</f>
        <v>3317.2139999999999</v>
      </c>
      <c r="AA31">
        <f ca="1">IFERROR(IF(0=LEN(ReferenceData!$AA$31),"",ReferenceData!$AA$31),"")</f>
        <v>3284.0340000000001</v>
      </c>
      <c r="AB31">
        <f ca="1">IFERROR(IF(0=LEN(ReferenceData!$AB$31),"",ReferenceData!$AB$31),"")</f>
        <v>2592.913</v>
      </c>
      <c r="AC31">
        <f ca="1">IFERROR(IF(0=LEN(ReferenceData!$AC$31),"",ReferenceData!$AC$31),"")</f>
        <v>2640.1579999999999</v>
      </c>
      <c r="AD31">
        <f ca="1">IFERROR(IF(0=LEN(ReferenceData!$AD$31),"",ReferenceData!$AD$31),"")</f>
        <v>2741.8470000000002</v>
      </c>
      <c r="AE31">
        <f ca="1">IFERROR(IF(0=LEN(ReferenceData!$AE$31),"",ReferenceData!$AE$31),"")</f>
        <v>2676.51</v>
      </c>
      <c r="AF31">
        <f ca="1">IFERROR(IF(0=LEN(ReferenceData!$AF$31),"",ReferenceData!$AF$31),"")</f>
        <v>2707.444</v>
      </c>
      <c r="AG31">
        <f ca="1">IFERROR(IF(0=LEN(ReferenceData!$AG$31),"",ReferenceData!$AG$31),"")</f>
        <v>2811.4160000000002</v>
      </c>
      <c r="AH31">
        <f ca="1">IFERROR(IF(0=LEN(ReferenceData!$AH$31),"",ReferenceData!$AH$31),"")</f>
        <v>3016.752</v>
      </c>
      <c r="AI31">
        <f ca="1">IFERROR(IF(0=LEN(ReferenceData!$AI$31),"",ReferenceData!$AI$31),"")</f>
        <v>2956.7759999999998</v>
      </c>
      <c r="AJ31">
        <f ca="1">IFERROR(IF(0=LEN(ReferenceData!$AJ$31),"",ReferenceData!$AJ$31),"")</f>
        <v>2822.7249999999999</v>
      </c>
      <c r="AK31">
        <f ca="1">IFERROR(IF(0=LEN(ReferenceData!$AK$31),"",ReferenceData!$AK$31),"")</f>
        <v>2962.0340000000001</v>
      </c>
      <c r="AL31">
        <f ca="1">IFERROR(IF(0=LEN(ReferenceData!$AL$31),"",ReferenceData!$AL$31),"")</f>
        <v>3335.7950000000001</v>
      </c>
      <c r="AM31">
        <f ca="1">IFERROR(IF(0=LEN(ReferenceData!$AM$31),"",ReferenceData!$AM$31),"")</f>
        <v>3236.6239999999998</v>
      </c>
      <c r="AN31">
        <f ca="1">IFERROR(IF(0=LEN(ReferenceData!$AN$31),"",ReferenceData!$AN$31),"")</f>
        <v>3240.3319999999999</v>
      </c>
      <c r="AO31">
        <f ca="1">IFERROR(IF(0=LEN(ReferenceData!$AO$31),"",ReferenceData!$AO$31),"")</f>
        <v>3205.2379999999998</v>
      </c>
      <c r="AP31">
        <f ca="1">IFERROR(IF(0=LEN(ReferenceData!$AP$31),"",ReferenceData!$AP$31),"")</f>
        <v>3773.2260000000001</v>
      </c>
      <c r="AQ31">
        <f ca="1">IFERROR(IF(0=LEN(ReferenceData!$AQ$31),"",ReferenceData!$AQ$31),"")</f>
        <v>2952.277</v>
      </c>
      <c r="AR31">
        <f ca="1">IFERROR(IF(0=LEN(ReferenceData!$AR$31),"",ReferenceData!$AR$31),"")</f>
        <v>2982.1460000000002</v>
      </c>
      <c r="AS31">
        <f ca="1">IFERROR(IF(0=LEN(ReferenceData!$AS$31),"",ReferenceData!$AS$31),"")</f>
        <v>2841.085</v>
      </c>
      <c r="AT31">
        <f ca="1">IFERROR(IF(0=LEN(ReferenceData!$AT$31),"",ReferenceData!$AT$31),"")</f>
        <v>2618.8510000000001</v>
      </c>
      <c r="AU31">
        <f ca="1">IFERROR(IF(0=LEN(ReferenceData!$AU$31),"",ReferenceData!$AU$31),"")</f>
        <v>2585.145</v>
      </c>
      <c r="AV31">
        <f ca="1">IFERROR(IF(0=LEN(ReferenceData!$AV$31),"",ReferenceData!$AV$31),"")</f>
        <v>2528.71</v>
      </c>
      <c r="AW31">
        <f ca="1">IFERROR(IF(0=LEN(ReferenceData!$AW$31),"",ReferenceData!$AW$31),"")</f>
        <v>2473.7570000000001</v>
      </c>
      <c r="AX31">
        <f ca="1">IFERROR(IF(0=LEN(ReferenceData!$AX$31),"",ReferenceData!$AX$31),"")</f>
        <v>2734.4</v>
      </c>
      <c r="AY31">
        <f ca="1">IFERROR(IF(0=LEN(ReferenceData!$AY$31),"",ReferenceData!$AY$31),"")</f>
        <v>2894.3760000000002</v>
      </c>
      <c r="AZ31">
        <f ca="1">IFERROR(IF(0=LEN(ReferenceData!$AZ$31),"",ReferenceData!$AZ$31),"")</f>
        <v>2670.0990000000002</v>
      </c>
      <c r="BA31">
        <f ca="1">IFERROR(IF(0=LEN(ReferenceData!$BA$31),"",ReferenceData!$BA$31),"")</f>
        <v>2602.0520000000001</v>
      </c>
      <c r="BB31">
        <f ca="1">IFERROR(IF(0=LEN(ReferenceData!$BB$31),"",ReferenceData!$BB$31),"")</f>
        <v>2610.556</v>
      </c>
      <c r="BC31">
        <f ca="1">IFERROR(IF(0=LEN(ReferenceData!$BC$31),"",ReferenceData!$BC$31),"")</f>
        <v>2291.52</v>
      </c>
      <c r="BD31">
        <f ca="1">IFERROR(IF(0=LEN(ReferenceData!$BD$31),"",ReferenceData!$BD$31),"")</f>
        <v>1955.0650000000001</v>
      </c>
      <c r="BE31">
        <f ca="1">IFERROR(IF(0=LEN(ReferenceData!$BE$31),"",ReferenceData!$BE$31),"")</f>
        <v>2716.2849999999999</v>
      </c>
      <c r="BF31">
        <f ca="1">IFERROR(IF(0=LEN(ReferenceData!$BF$31),"",ReferenceData!$BF$31),"")</f>
        <v>3073.201</v>
      </c>
      <c r="BG31">
        <f ca="1">IFERROR(IF(0=LEN(ReferenceData!$BG$31),"",ReferenceData!$BG$31),"")</f>
        <v>3282.7809999999999</v>
      </c>
      <c r="BH31">
        <f ca="1">IFERROR(IF(0=LEN(ReferenceData!$BH$31),"",ReferenceData!$BH$31),"")</f>
        <v>3209.41</v>
      </c>
      <c r="BI31">
        <f ca="1">IFERROR(IF(0=LEN(ReferenceData!$BI$31),"",ReferenceData!$BI$31),"")</f>
        <v>3123.375</v>
      </c>
      <c r="BJ31">
        <f ca="1">IFERROR(IF(0=LEN(ReferenceData!$BJ$31),"",ReferenceData!$BJ$31),"")</f>
        <v>2890.9490000000001</v>
      </c>
      <c r="BK31">
        <f ca="1">IFERROR(IF(0=LEN(ReferenceData!$BK$31),"",ReferenceData!$BK$31),"")</f>
        <v>2908.127</v>
      </c>
      <c r="BL31">
        <f ca="1">IFERROR(IF(0=LEN(ReferenceData!$BL$31),"",ReferenceData!$BL$31),"")</f>
        <v>2127.5590000000002</v>
      </c>
      <c r="BM31" t="str">
        <f ca="1">IFERROR(IF(0=LEN(ReferenceData!$BM$31),"",ReferenceData!$BM$31),"")</f>
        <v/>
      </c>
    </row>
    <row r="32" spans="1:65" x14ac:dyDescent="0.25">
      <c r="A32" t="str">
        <f>IFERROR(IF(0=LEN(ReferenceData!$A$32),"",ReferenceData!$A$32),"")</f>
        <v xml:space="preserve">                Fifth Third Bancorp</v>
      </c>
      <c r="B32" t="str">
        <f>IFERROR(IF(0=LEN(ReferenceData!$B$32),"",ReferenceData!$B$32),"")</f>
        <v>FITB US Equity</v>
      </c>
      <c r="C32" t="str">
        <f>IFERROR(IF(0=LEN(ReferenceData!$C$32),"",ReferenceData!$C$32),"")</f>
        <v>FC471</v>
      </c>
      <c r="D32" t="str">
        <f>IFERROR(IF(0=LEN(ReferenceData!$D$32),"",ReferenceData!$D$32),"")</f>
        <v>FDIC_SECS_AVAIL_FOR_SALE_MKT_VAL</v>
      </c>
      <c r="E32" t="str">
        <f>IFERROR(IF(0=LEN(ReferenceData!$E$32),"",ReferenceData!$E$32),"")</f>
        <v>Dynamic</v>
      </c>
      <c r="F32">
        <f ca="1">IFERROR(IF(0=LEN(ReferenceData!$F$32),"",ReferenceData!$F$32),"")</f>
        <v>38768</v>
      </c>
      <c r="G32">
        <f ca="1">IFERROR(IF(0=LEN(ReferenceData!$G$32),"",ReferenceData!$G$32),"")</f>
        <v>39619</v>
      </c>
      <c r="H32">
        <f ca="1">IFERROR(IF(0=LEN(ReferenceData!$H$32),"",ReferenceData!$H$32),"")</f>
        <v>38193</v>
      </c>
      <c r="I32">
        <f ca="1">IFERROR(IF(0=LEN(ReferenceData!$I$32),"",ReferenceData!$I$32),"")</f>
        <v>37990</v>
      </c>
      <c r="J32">
        <f ca="1">IFERROR(IF(0=LEN(ReferenceData!$J$32),"",ReferenceData!$J$32),"")</f>
        <v>49698</v>
      </c>
      <c r="K32">
        <f ca="1">IFERROR(IF(0=LEN(ReferenceData!$K$32),"",ReferenceData!$K$32),"")</f>
        <v>47115</v>
      </c>
      <c r="L32">
        <f ca="1">IFERROR(IF(0=LEN(ReferenceData!$L$32),"",ReferenceData!$L$32),"")</f>
        <v>48493</v>
      </c>
      <c r="M32">
        <f ca="1">IFERROR(IF(0=LEN(ReferenceData!$M$32),"",ReferenceData!$M$32),"")</f>
        <v>49829</v>
      </c>
      <c r="N32">
        <f ca="1">IFERROR(IF(0=LEN(ReferenceData!$N$32),"",ReferenceData!$N$32),"")</f>
        <v>50629.088000000003</v>
      </c>
      <c r="O32">
        <f ca="1">IFERROR(IF(0=LEN(ReferenceData!$O$32),"",ReferenceData!$O$32),"")</f>
        <v>50414.911999999997</v>
      </c>
      <c r="P32">
        <f ca="1">IFERROR(IF(0=LEN(ReferenceData!$P$32),"",ReferenceData!$P$32),"")</f>
        <v>52031.298000000003</v>
      </c>
      <c r="Q32">
        <f ca="1">IFERROR(IF(0=LEN(ReferenceData!$Q$32),"",ReferenceData!$Q$32),"")</f>
        <v>48313.976000000002</v>
      </c>
      <c r="R32">
        <f ca="1">IFERROR(IF(0=LEN(ReferenceData!$R$32),"",ReferenceData!$R$32),"")</f>
        <v>37591.434000000001</v>
      </c>
      <c r="S32">
        <f ca="1">IFERROR(IF(0=LEN(ReferenceData!$S$32),"",ReferenceData!$S$32),"")</f>
        <v>37352.347000000002</v>
      </c>
      <c r="T32">
        <f ca="1">IFERROR(IF(0=LEN(ReferenceData!$T$32),"",ReferenceData!$T$32),"")</f>
        <v>37492.207000000002</v>
      </c>
      <c r="U32">
        <f ca="1">IFERROR(IF(0=LEN(ReferenceData!$U$32),"",ReferenceData!$U$32),"")</f>
        <v>37073.944000000003</v>
      </c>
      <c r="V32">
        <f ca="1">IFERROR(IF(0=LEN(ReferenceData!$V$32),"",ReferenceData!$V$32),"")</f>
        <v>36988.781999999999</v>
      </c>
      <c r="W32">
        <f ca="1">IFERROR(IF(0=LEN(ReferenceData!$W$32),"",ReferenceData!$W$32),"")</f>
        <v>36894.470999999998</v>
      </c>
      <c r="X32">
        <f ca="1">IFERROR(IF(0=LEN(ReferenceData!$X$32),"",ReferenceData!$X$32),"")</f>
        <v>38051.436999999998</v>
      </c>
      <c r="Y32">
        <f ca="1">IFERROR(IF(0=LEN(ReferenceData!$Y$32),"",ReferenceData!$Y$32),"")</f>
        <v>38029.612999999998</v>
      </c>
      <c r="Z32">
        <f ca="1">IFERROR(IF(0=LEN(ReferenceData!$Z$32),"",ReferenceData!$Z$32),"")</f>
        <v>35472.841999999997</v>
      </c>
      <c r="AA32">
        <f ca="1">IFERROR(IF(0=LEN(ReferenceData!$AA$32),"",ReferenceData!$AA$32),"")</f>
        <v>36603.811999999998</v>
      </c>
      <c r="AB32">
        <f ca="1">IFERROR(IF(0=LEN(ReferenceData!$AB$32),"",ReferenceData!$AB$32),"")</f>
        <v>35207.072</v>
      </c>
      <c r="AC32">
        <f ca="1">IFERROR(IF(0=LEN(ReferenceData!$AC$32),"",ReferenceData!$AC$32),"")</f>
        <v>34467.135000000002</v>
      </c>
      <c r="AD32">
        <f ca="1">IFERROR(IF(0=LEN(ReferenceData!$AD$32),"",ReferenceData!$AD$32),"")</f>
        <v>32278.117999999999</v>
      </c>
      <c r="AE32">
        <f ca="1">IFERROR(IF(0=LEN(ReferenceData!$AE$32),"",ReferenceData!$AE$32),"")</f>
        <v>31257.54</v>
      </c>
      <c r="AF32">
        <f ca="1">IFERROR(IF(0=LEN(ReferenceData!$AF$32),"",ReferenceData!$AF$32),"")</f>
        <v>31347.248</v>
      </c>
      <c r="AG32">
        <f ca="1">IFERROR(IF(0=LEN(ReferenceData!$AG$32),"",ReferenceData!$AG$32),"")</f>
        <v>31206.024000000001</v>
      </c>
      <c r="AH32">
        <f ca="1">IFERROR(IF(0=LEN(ReferenceData!$AH$32),"",ReferenceData!$AH$32),"")</f>
        <v>31208.964</v>
      </c>
      <c r="AI32">
        <f ca="1">IFERROR(IF(0=LEN(ReferenceData!$AI$32),"",ReferenceData!$AI$32),"")</f>
        <v>30868.948</v>
      </c>
      <c r="AJ32">
        <f ca="1">IFERROR(IF(0=LEN(ReferenceData!$AJ$32),"",ReferenceData!$AJ$32),"")</f>
        <v>31212.607</v>
      </c>
      <c r="AK32">
        <f ca="1">IFERROR(IF(0=LEN(ReferenceData!$AK$32),"",ReferenceData!$AK$32),"")</f>
        <v>30922.12</v>
      </c>
      <c r="AL32">
        <f ca="1">IFERROR(IF(0=LEN(ReferenceData!$AL$32),"",ReferenceData!$AL$32),"")</f>
        <v>30575.792000000001</v>
      </c>
      <c r="AM32">
        <f ca="1">IFERROR(IF(0=LEN(ReferenceData!$AM$32),"",ReferenceData!$AM$32),"")</f>
        <v>30082.442999999999</v>
      </c>
      <c r="AN32">
        <f ca="1">IFERROR(IF(0=LEN(ReferenceData!$AN$32),"",ReferenceData!$AN$32),"")</f>
        <v>30848.845000000001</v>
      </c>
      <c r="AO32">
        <f ca="1">IFERROR(IF(0=LEN(ReferenceData!$AO$32),"",ReferenceData!$AO$32),"")</f>
        <v>29285.55</v>
      </c>
      <c r="AP32">
        <f ca="1">IFERROR(IF(0=LEN(ReferenceData!$AP$32),"",ReferenceData!$AP$32),"")</f>
        <v>28439.659</v>
      </c>
      <c r="AQ32">
        <f ca="1">IFERROR(IF(0=LEN(ReferenceData!$AQ$32),"",ReferenceData!$AQ$32),"")</f>
        <v>28195.366999999998</v>
      </c>
      <c r="AR32">
        <f ca="1">IFERROR(IF(0=LEN(ReferenceData!$AR$32),"",ReferenceData!$AR$32),"")</f>
        <v>27385.704000000002</v>
      </c>
      <c r="AS32">
        <f ca="1">IFERROR(IF(0=LEN(ReferenceData!$AS$32),"",ReferenceData!$AS$32),"")</f>
        <v>25808.400000000001</v>
      </c>
      <c r="AT32">
        <f ca="1">IFERROR(IF(0=LEN(ReferenceData!$AT$32),"",ReferenceData!$AT$32),"")</f>
        <v>21807.300999999999</v>
      </c>
      <c r="AU32">
        <f ca="1">IFERROR(IF(0=LEN(ReferenceData!$AU$32),"",ReferenceData!$AU$32),"")</f>
        <v>22311.741999999998</v>
      </c>
      <c r="AV32">
        <f ca="1">IFERROR(IF(0=LEN(ReferenceData!$AV$32),"",ReferenceData!$AV$32),"")</f>
        <v>22215.5</v>
      </c>
      <c r="AW32">
        <f ca="1">IFERROR(IF(0=LEN(ReferenceData!$AW$32),"",ReferenceData!$AW$32),"")</f>
        <v>20150.698</v>
      </c>
      <c r="AX32">
        <f ca="1">IFERROR(IF(0=LEN(ReferenceData!$AX$32),"",ReferenceData!$AX$32),"")</f>
        <v>17845.746999999999</v>
      </c>
      <c r="AY32">
        <f ca="1">IFERROR(IF(0=LEN(ReferenceData!$AY$32),"",ReferenceData!$AY$32),"")</f>
        <v>17233.511999999999</v>
      </c>
      <c r="AZ32">
        <f ca="1">IFERROR(IF(0=LEN(ReferenceData!$AZ$32),"",ReferenceData!$AZ$32),"")</f>
        <v>15341.741</v>
      </c>
      <c r="BA32">
        <f ca="1">IFERROR(IF(0=LEN(ReferenceData!$BA$32),"",ReferenceData!$BA$32),"")</f>
        <v>14417.929</v>
      </c>
      <c r="BB32">
        <f ca="1">IFERROR(IF(0=LEN(ReferenceData!$BB$32),"",ReferenceData!$BB$32),"")</f>
        <v>14362.356</v>
      </c>
      <c r="BC32">
        <f ca="1">IFERROR(IF(0=LEN(ReferenceData!$BC$32),"",ReferenceData!$BC$32),"")</f>
        <v>14558.31</v>
      </c>
      <c r="BD32">
        <f ca="1">IFERROR(IF(0=LEN(ReferenceData!$BD$32),"",ReferenceData!$BD$32),"")</f>
        <v>14708.494000000001</v>
      </c>
      <c r="BE32">
        <f ca="1">IFERROR(IF(0=LEN(ReferenceData!$BE$32),"",ReferenceData!$BE$32),"")</f>
        <v>15250.107</v>
      </c>
      <c r="BF32">
        <f ca="1">IFERROR(IF(0=LEN(ReferenceData!$BF$32),"",ReferenceData!$BF$32),"")</f>
        <v>14519.375</v>
      </c>
      <c r="BG32">
        <f ca="1">IFERROR(IF(0=LEN(ReferenceData!$BG$32),"",ReferenceData!$BG$32),"")</f>
        <v>15384.949000000001</v>
      </c>
      <c r="BH32">
        <f ca="1">IFERROR(IF(0=LEN(ReferenceData!$BH$32),"",ReferenceData!$BH$32),"")</f>
        <v>14660.333000000001</v>
      </c>
      <c r="BI32">
        <f ca="1">IFERROR(IF(0=LEN(ReferenceData!$BI$32),"",ReferenceData!$BI$32),"")</f>
        <v>14266.92</v>
      </c>
      <c r="BJ32">
        <f ca="1">IFERROR(IF(0=LEN(ReferenceData!$BJ$32),"",ReferenceData!$BJ$32),"")</f>
        <v>14546.322</v>
      </c>
      <c r="BK32">
        <f ca="1">IFERROR(IF(0=LEN(ReferenceData!$BK$32),"",ReferenceData!$BK$32),"")</f>
        <v>15081.192999999999</v>
      </c>
      <c r="BL32">
        <f ca="1">IFERROR(IF(0=LEN(ReferenceData!$BL$32),"",ReferenceData!$BL$32),"")</f>
        <v>15127.201999999999</v>
      </c>
      <c r="BM32" t="str">
        <f ca="1">IFERROR(IF(0=LEN(ReferenceData!$BM$32),"",ReferenceData!$BM$32),"")</f>
        <v/>
      </c>
    </row>
    <row r="33" spans="1:65" x14ac:dyDescent="0.25">
      <c r="A33" t="str">
        <f>IFERROR(IF(0=LEN(ReferenceData!$A$33),"",ReferenceData!$A$33),"")</f>
        <v xml:space="preserve">                First Citizens BancShares Inc/</v>
      </c>
      <c r="B33" t="str">
        <f>IFERROR(IF(0=LEN(ReferenceData!$B$33),"",ReferenceData!$B$33),"")</f>
        <v>FCNCA US Equity</v>
      </c>
      <c r="C33" t="str">
        <f>IFERROR(IF(0=LEN(ReferenceData!$C$33),"",ReferenceData!$C$33),"")</f>
        <v>FC471</v>
      </c>
      <c r="D33" t="str">
        <f>IFERROR(IF(0=LEN(ReferenceData!$D$33),"",ReferenceData!$D$33),"")</f>
        <v>FDIC_SECS_AVAIL_FOR_SALE_MKT_VAL</v>
      </c>
      <c r="E33" t="str">
        <f>IFERROR(IF(0=LEN(ReferenceData!$E$33),"",ReferenceData!$E$33),"")</f>
        <v>Dynamic</v>
      </c>
      <c r="F33">
        <f ca="1">IFERROR(IF(0=LEN(ReferenceData!$F$33),"",ReferenceData!$F$33),"")</f>
        <v>33751</v>
      </c>
      <c r="G33">
        <f ca="1">IFERROR(IF(0=LEN(ReferenceData!$G$33),"",ReferenceData!$G$33),"")</f>
        <v>28190</v>
      </c>
      <c r="H33">
        <f ca="1">IFERROR(IF(0=LEN(ReferenceData!$H$33),"",ReferenceData!$H$33),"")</f>
        <v>27053</v>
      </c>
      <c r="I33">
        <f ca="1">IFERROR(IF(0=LEN(ReferenceData!$I$33),"",ReferenceData!$I$33),"")</f>
        <v>24915</v>
      </c>
      <c r="J33">
        <f ca="1">IFERROR(IF(0=LEN(ReferenceData!$J$33),"",ReferenceData!$J$33),"")</f>
        <v>19935.712</v>
      </c>
      <c r="K33">
        <f ca="1">IFERROR(IF(0=LEN(ReferenceData!$K$33),"",ReferenceData!$K$33),"")</f>
        <v>16660.905999999999</v>
      </c>
      <c r="L33">
        <f ca="1">IFERROR(IF(0=LEN(ReferenceData!$L$33),"",ReferenceData!$L$33),"")</f>
        <v>11894.233</v>
      </c>
      <c r="M33">
        <f ca="1">IFERROR(IF(0=LEN(ReferenceData!$M$33),"",ReferenceData!$M$33),"")</f>
        <v>9061.402</v>
      </c>
      <c r="N33">
        <f ca="1">IFERROR(IF(0=LEN(ReferenceData!$N$33),"",ReferenceData!$N$33),"")</f>
        <v>8995.1039999999994</v>
      </c>
      <c r="O33">
        <f ca="1">IFERROR(IF(0=LEN(ReferenceData!$O$33),"",ReferenceData!$O$33),"")</f>
        <v>9087.6039999999994</v>
      </c>
      <c r="P33">
        <f ca="1">IFERROR(IF(0=LEN(ReferenceData!$P$33),"",ReferenceData!$P$33),"")</f>
        <v>9209.598</v>
      </c>
      <c r="Q33">
        <f ca="1">IFERROR(IF(0=LEN(ReferenceData!$Q$33),"",ReferenceData!$Q$33),"")</f>
        <v>9295.24</v>
      </c>
      <c r="R33">
        <f ca="1">IFERROR(IF(0=LEN(ReferenceData!$R$33),"",ReferenceData!$R$33),"")</f>
        <v>9203.4269999999997</v>
      </c>
      <c r="S33">
        <f ca="1">IFERROR(IF(0=LEN(ReferenceData!$S$33),"",ReferenceData!$S$33),"")</f>
        <v>7371.1289999999999</v>
      </c>
      <c r="T33">
        <f ca="1">IFERROR(IF(0=LEN(ReferenceData!$T$33),"",ReferenceData!$T$33),"")</f>
        <v>7381.0829999999996</v>
      </c>
      <c r="U33">
        <f ca="1">IFERROR(IF(0=LEN(ReferenceData!$U$33),"",ReferenceData!$U$33),"")</f>
        <v>7307.1220000000003</v>
      </c>
      <c r="V33">
        <f ca="1">IFERROR(IF(0=LEN(ReferenceData!$V$33),"",ReferenceData!$V$33),"")</f>
        <v>7014.2430000000004</v>
      </c>
      <c r="W33">
        <f ca="1">IFERROR(IF(0=LEN(ReferenceData!$W$33),"",ReferenceData!$W$33),"")</f>
        <v>9019.7880000000005</v>
      </c>
      <c r="X33">
        <f ca="1">IFERROR(IF(0=LEN(ReferenceData!$X$33),"",ReferenceData!$X$33),"")</f>
        <v>8619.2819999999992</v>
      </c>
      <c r="Y33">
        <f ca="1">IFERROR(IF(0=LEN(ReferenceData!$Y$33),"",ReferenceData!$Y$33),"")</f>
        <v>7789.0339999999997</v>
      </c>
      <c r="Z33">
        <f ca="1">IFERROR(IF(0=LEN(ReferenceData!$Z$33),"",ReferenceData!$Z$33),"")</f>
        <v>7059.674</v>
      </c>
      <c r="AA33">
        <f ca="1">IFERROR(IF(0=LEN(ReferenceData!$AA$33),"",ReferenceData!$AA$33),"")</f>
        <v>4904.8829999999998</v>
      </c>
      <c r="AB33">
        <f ca="1">IFERROR(IF(0=LEN(ReferenceData!$AB$33),"",ReferenceData!$AB$33),"")</f>
        <v>4366.0410000000002</v>
      </c>
      <c r="AC33">
        <f ca="1">IFERROR(IF(0=LEN(ReferenceData!$AC$33),"",ReferenceData!$AC$33),"")</f>
        <v>4589.8</v>
      </c>
      <c r="AD33">
        <f ca="1">IFERROR(IF(0=LEN(ReferenceData!$AD$33),"",ReferenceData!$AD$33),"")</f>
        <v>4557.1099999999997</v>
      </c>
      <c r="AE33">
        <f ca="1">IFERROR(IF(0=LEN(ReferenceData!$AE$33),"",ReferenceData!$AE$33),"")</f>
        <v>4677.3509999999997</v>
      </c>
      <c r="AF33">
        <f ca="1">IFERROR(IF(0=LEN(ReferenceData!$AF$33),"",ReferenceData!$AF$33),"")</f>
        <v>4783.5069999999996</v>
      </c>
      <c r="AG33">
        <f ca="1">IFERROR(IF(0=LEN(ReferenceData!$AG$33),"",ReferenceData!$AG$33),"")</f>
        <v>6857.74</v>
      </c>
      <c r="AH33">
        <f ca="1">IFERROR(IF(0=LEN(ReferenceData!$AH$33),"",ReferenceData!$AH$33),"")</f>
        <v>7180.18</v>
      </c>
      <c r="AI33">
        <f ca="1">IFERROR(IF(0=LEN(ReferenceData!$AI$33),"",ReferenceData!$AI$33),"")</f>
        <v>6992.8770000000004</v>
      </c>
      <c r="AJ33">
        <f ca="1">IFERROR(IF(0=LEN(ReferenceData!$AJ$33),"",ReferenceData!$AJ$33),"")</f>
        <v>6596.45</v>
      </c>
      <c r="AK33">
        <f ca="1">IFERROR(IF(0=LEN(ReferenceData!$AK$33),"",ReferenceData!$AK$33),"")</f>
        <v>7119.8609999999999</v>
      </c>
      <c r="AL33">
        <f ca="1">IFERROR(IF(0=LEN(ReferenceData!$AL$33),"",ReferenceData!$AL$33),"")</f>
        <v>7006.58</v>
      </c>
      <c r="AM33">
        <f ca="1">IFERROR(IF(0=LEN(ReferenceData!$AM$33),"",ReferenceData!$AM$33),"")</f>
        <v>6459.8149999999996</v>
      </c>
      <c r="AN33">
        <f ca="1">IFERROR(IF(0=LEN(ReferenceData!$AN$33),"",ReferenceData!$AN$33),"")</f>
        <v>6632.58</v>
      </c>
      <c r="AO33">
        <f ca="1">IFERROR(IF(0=LEN(ReferenceData!$AO$33),"",ReferenceData!$AO$33),"")</f>
        <v>6762.2889999999998</v>
      </c>
      <c r="AP33">
        <f ca="1">IFERROR(IF(0=LEN(ReferenceData!$AP$33),"",ReferenceData!$AP$33),"")</f>
        <v>6936.2929999999997</v>
      </c>
      <c r="AQ33">
        <f ca="1">IFERROR(IF(0=LEN(ReferenceData!$AQ$33),"",ReferenceData!$AQ$33),"")</f>
        <v>6765.5780000000004</v>
      </c>
      <c r="AR33">
        <f ca="1">IFERROR(IF(0=LEN(ReferenceData!$AR$33),"",ReferenceData!$AR$33),"")</f>
        <v>7425.1940000000004</v>
      </c>
      <c r="AS33">
        <f ca="1">IFERROR(IF(0=LEN(ReferenceData!$AS$33),"",ReferenceData!$AS$33),"")</f>
        <v>7120.1090000000004</v>
      </c>
      <c r="AT33">
        <f ca="1">IFERROR(IF(0=LEN(ReferenceData!$AT$33),"",ReferenceData!$AT$33),"")</f>
        <v>7246.9170000000004</v>
      </c>
      <c r="AU33">
        <f ca="1">IFERROR(IF(0=LEN(ReferenceData!$AU$33),"",ReferenceData!$AU$33),"")</f>
        <v>5698.0940000000001</v>
      </c>
      <c r="AV33">
        <f ca="1">IFERROR(IF(0=LEN(ReferenceData!$AV$33),"",ReferenceData!$AV$33),"")</f>
        <v>5538.1660000000002</v>
      </c>
      <c r="AW33">
        <f ca="1">IFERROR(IF(0=LEN(ReferenceData!$AW$33),"",ReferenceData!$AW$33),"")</f>
        <v>5676.2370000000001</v>
      </c>
      <c r="AX33">
        <f ca="1">IFERROR(IF(0=LEN(ReferenceData!$AX$33),"",ReferenceData!$AX$33),"")</f>
        <v>5387.7030000000004</v>
      </c>
      <c r="AY33">
        <f ca="1">IFERROR(IF(0=LEN(ReferenceData!$AY$33),"",ReferenceData!$AY$33),"")</f>
        <v>5161.585</v>
      </c>
      <c r="AZ33">
        <f ca="1">IFERROR(IF(0=LEN(ReferenceData!$AZ$33),"",ReferenceData!$AZ$33),"")</f>
        <v>5184.9750000000004</v>
      </c>
      <c r="BA33">
        <f ca="1">IFERROR(IF(0=LEN(ReferenceData!$BA$33),"",ReferenceData!$BA$33),"")</f>
        <v>5279.6779999999999</v>
      </c>
      <c r="BB33">
        <f ca="1">IFERROR(IF(0=LEN(ReferenceData!$BB$33),"",ReferenceData!$BB$33),"")</f>
        <v>5226.2280000000001</v>
      </c>
      <c r="BC33">
        <f ca="1">IFERROR(IF(0=LEN(ReferenceData!$BC$33),"",ReferenceData!$BC$33),"")</f>
        <v>5012.848</v>
      </c>
      <c r="BD33">
        <f ca="1">IFERROR(IF(0=LEN(ReferenceData!$BD$33),"",ReferenceData!$BD$33),"")</f>
        <v>4634.2479999999996</v>
      </c>
      <c r="BE33">
        <f ca="1">IFERROR(IF(0=LEN(ReferenceData!$BE$33),"",ReferenceData!$BE$33),"")</f>
        <v>4457.7389999999996</v>
      </c>
      <c r="BF33">
        <f ca="1">IFERROR(IF(0=LEN(ReferenceData!$BF$33),"",ReferenceData!$BF$33),"")</f>
        <v>4056.4229999999998</v>
      </c>
      <c r="BG33">
        <f ca="1">IFERROR(IF(0=LEN(ReferenceData!$BG$33),"",ReferenceData!$BG$33),"")</f>
        <v>3994.8249999999998</v>
      </c>
      <c r="BH33">
        <f ca="1">IFERROR(IF(0=LEN(ReferenceData!$BH$33),"",ReferenceData!$BH$33),"")</f>
        <v>4014.241</v>
      </c>
      <c r="BI33">
        <f ca="1">IFERROR(IF(0=LEN(ReferenceData!$BI$33),"",ReferenceData!$BI$33),"")</f>
        <v>4202.0159999999996</v>
      </c>
      <c r="BJ33">
        <f ca="1">IFERROR(IF(0=LEN(ReferenceData!$BJ$33),"",ReferenceData!$BJ$33),"")</f>
        <v>4510.0770000000002</v>
      </c>
      <c r="BK33">
        <f ca="1">IFERROR(IF(0=LEN(ReferenceData!$BK$33),"",ReferenceData!$BK$33),"")</f>
        <v>3786.6480000000001</v>
      </c>
      <c r="BL33">
        <f ca="1">IFERROR(IF(0=LEN(ReferenceData!$BL$33),"",ReferenceData!$BL$33),"")</f>
        <v>3768.7310000000002</v>
      </c>
      <c r="BM33" t="str">
        <f ca="1">IFERROR(IF(0=LEN(ReferenceData!$BM$33),"",ReferenceData!$BM$33),"")</f>
        <v/>
      </c>
    </row>
    <row r="34" spans="1:65" x14ac:dyDescent="0.25">
      <c r="A34" t="str">
        <f>IFERROR(IF(0=LEN(ReferenceData!$A$34),"",ReferenceData!$A$34),"")</f>
        <v xml:space="preserve">                Flagstar Financial Inc</v>
      </c>
      <c r="B34" t="str">
        <f>IFERROR(IF(0=LEN(ReferenceData!$B$34),"",ReferenceData!$B$34),"")</f>
        <v>FLG US Equity</v>
      </c>
      <c r="C34" t="str">
        <f>IFERROR(IF(0=LEN(ReferenceData!$C$34),"",ReferenceData!$C$34),"")</f>
        <v>FC471</v>
      </c>
      <c r="D34" t="str">
        <f>IFERROR(IF(0=LEN(ReferenceData!$D$34),"",ReferenceData!$D$34),"")</f>
        <v>FDIC_SECS_AVAIL_FOR_SALE_MKT_VAL</v>
      </c>
      <c r="E34" t="str">
        <f>IFERROR(IF(0=LEN(ReferenceData!$E$34),"",ReferenceData!$E$34),"")</f>
        <v>Dynamic</v>
      </c>
      <c r="F34">
        <f ca="1">IFERROR(IF(0=LEN(ReferenceData!$F$34),"",ReferenceData!$F$34),"")</f>
        <v>10401.846</v>
      </c>
      <c r="G34">
        <f ca="1">IFERROR(IF(0=LEN(ReferenceData!$G$34),"",ReferenceData!$G$34),"")</f>
        <v>10510.848</v>
      </c>
      <c r="H34">
        <f ca="1">IFERROR(IF(0=LEN(ReferenceData!$H$34),"",ReferenceData!$H$34),"")</f>
        <v>10534.596</v>
      </c>
      <c r="I34">
        <f ca="1">IFERROR(IF(0=LEN(ReferenceData!$I$34),"",ReferenceData!$I$34),"")</f>
        <v>9336.4789999999994</v>
      </c>
      <c r="J34">
        <f ca="1">IFERROR(IF(0=LEN(ReferenceData!$J$34),"",ReferenceData!$J$34),"")</f>
        <v>9144.8559999999998</v>
      </c>
      <c r="K34">
        <f ca="1">IFERROR(IF(0=LEN(ReferenceData!$K$34),"",ReferenceData!$K$34),"")</f>
        <v>8722.6350000000002</v>
      </c>
      <c r="L34">
        <f ca="1">IFERROR(IF(0=LEN(ReferenceData!$L$34),"",ReferenceData!$L$34),"")</f>
        <v>7778.5609999999997</v>
      </c>
      <c r="M34">
        <f ca="1">IFERROR(IF(0=LEN(ReferenceData!$M$34),"",ReferenceData!$M$34),"")</f>
        <v>7599.0450000000001</v>
      </c>
      <c r="N34">
        <f ca="1">IFERROR(IF(0=LEN(ReferenceData!$N$34),"",ReferenceData!$N$34),"")</f>
        <v>9059.7389999999996</v>
      </c>
      <c r="O34">
        <f ca="1">IFERROR(IF(0=LEN(ReferenceData!$O$34),"",ReferenceData!$O$34),"")</f>
        <v>6689.1559999999999</v>
      </c>
      <c r="P34">
        <f ca="1">IFERROR(IF(0=LEN(ReferenceData!$P$34),"",ReferenceData!$P$34),"")</f>
        <v>5663.6270000000004</v>
      </c>
      <c r="Q34">
        <f ca="1">IFERROR(IF(0=LEN(ReferenceData!$Q$34),"",ReferenceData!$Q$34),"")</f>
        <v>5612.0259999999998</v>
      </c>
      <c r="R34">
        <f ca="1">IFERROR(IF(0=LEN(ReferenceData!$R$34),"",ReferenceData!$R$34),"")</f>
        <v>5779.97</v>
      </c>
      <c r="S34">
        <f ca="1">IFERROR(IF(0=LEN(ReferenceData!$S$34),"",ReferenceData!$S$34),"")</f>
        <v>5898.2129999999997</v>
      </c>
      <c r="T34">
        <f ca="1">IFERROR(IF(0=LEN(ReferenceData!$T$34),"",ReferenceData!$T$34),"")</f>
        <v>6077.3180000000002</v>
      </c>
      <c r="U34">
        <f ca="1">IFERROR(IF(0=LEN(ReferenceData!$U$34),"",ReferenceData!$U$34),"")</f>
        <v>6177.9049999999997</v>
      </c>
      <c r="V34">
        <f ca="1">IFERROR(IF(0=LEN(ReferenceData!$V$34),"",ReferenceData!$V$34),"")</f>
        <v>5813.3329999999996</v>
      </c>
      <c r="W34">
        <f ca="1">IFERROR(IF(0=LEN(ReferenceData!$W$34),"",ReferenceData!$W$34),"")</f>
        <v>5233.7439999999997</v>
      </c>
      <c r="X34">
        <f ca="1">IFERROR(IF(0=LEN(ReferenceData!$X$34),"",ReferenceData!$X$34),"")</f>
        <v>5168.1819999999998</v>
      </c>
      <c r="Y34">
        <f ca="1">IFERROR(IF(0=LEN(ReferenceData!$Y$34),"",ReferenceData!$Y$34),"")</f>
        <v>5455.2460000000001</v>
      </c>
      <c r="Z34">
        <f ca="1">IFERROR(IF(0=LEN(ReferenceData!$Z$34),"",ReferenceData!$Z$34),"")</f>
        <v>5853.0569999999998</v>
      </c>
      <c r="AA34">
        <f ca="1">IFERROR(IF(0=LEN(ReferenceData!$AA$34),"",ReferenceData!$AA$34),"")</f>
        <v>5854.5680000000002</v>
      </c>
      <c r="AB34">
        <f ca="1">IFERROR(IF(0=LEN(ReferenceData!$AB$34),"",ReferenceData!$AB$34),"")</f>
        <v>5738.1459999999997</v>
      </c>
      <c r="AC34">
        <f ca="1">IFERROR(IF(0=LEN(ReferenceData!$AC$34),"",ReferenceData!$AC$34),"")</f>
        <v>5724.6440000000002</v>
      </c>
      <c r="AD34">
        <f ca="1">IFERROR(IF(0=LEN(ReferenceData!$AD$34),"",ReferenceData!$AD$34),"")</f>
        <v>5613.52</v>
      </c>
      <c r="AE34">
        <f ca="1">IFERROR(IF(0=LEN(ReferenceData!$AE$34),"",ReferenceData!$AE$34),"")</f>
        <v>4764.2830000000004</v>
      </c>
      <c r="AF34">
        <f ca="1">IFERROR(IF(0=LEN(ReferenceData!$AF$34),"",ReferenceData!$AF$34),"")</f>
        <v>4122.8829999999998</v>
      </c>
      <c r="AG34">
        <f ca="1">IFERROR(IF(0=LEN(ReferenceData!$AG$34),"",ReferenceData!$AG$34),"")</f>
        <v>3391.9520000000002</v>
      </c>
      <c r="AH34">
        <f ca="1">IFERROR(IF(0=LEN(ReferenceData!$AH$34),"",ReferenceData!$AH$34),"")</f>
        <v>3531.4270000000001</v>
      </c>
      <c r="AI34">
        <f ca="1">IFERROR(IF(0=LEN(ReferenceData!$AI$34),"",ReferenceData!$AI$34),"")</f>
        <v>3031.0259999999998</v>
      </c>
      <c r="AJ34">
        <f ca="1">IFERROR(IF(0=LEN(ReferenceData!$AJ$34),"",ReferenceData!$AJ$34),"")</f>
        <v>3171.1170000000002</v>
      </c>
      <c r="AK34">
        <f ca="1">IFERROR(IF(0=LEN(ReferenceData!$AK$34),"",ReferenceData!$AK$34),"")</f>
        <v>50.223999999999997</v>
      </c>
      <c r="AL34">
        <f ca="1">IFERROR(IF(0=LEN(ReferenceData!$AL$34),"",ReferenceData!$AL$34),"")</f>
        <v>104.28100000000001</v>
      </c>
      <c r="AM34">
        <f ca="1">IFERROR(IF(0=LEN(ReferenceData!$AM$34),"",ReferenceData!$AM$34),"")</f>
        <v>161.14500000000001</v>
      </c>
      <c r="AN34">
        <f ca="1">IFERROR(IF(0=LEN(ReferenceData!$AN$34),"",ReferenceData!$AN$34),"")</f>
        <v>154.27000000000001</v>
      </c>
      <c r="AO34">
        <f ca="1">IFERROR(IF(0=LEN(ReferenceData!$AO$34),"",ReferenceData!$AO$34),"")</f>
        <v>152.249</v>
      </c>
      <c r="AP34">
        <f ca="1">IFERROR(IF(0=LEN(ReferenceData!$AP$34),"",ReferenceData!$AP$34),"")</f>
        <v>204.255</v>
      </c>
      <c r="AQ34">
        <f ca="1">IFERROR(IF(0=LEN(ReferenceData!$AQ$34),"",ReferenceData!$AQ$34),"")</f>
        <v>162.327</v>
      </c>
      <c r="AR34">
        <f ca="1">IFERROR(IF(0=LEN(ReferenceData!$AR$34),"",ReferenceData!$AR$34),"")</f>
        <v>165.142</v>
      </c>
      <c r="AS34">
        <f ca="1">IFERROR(IF(0=LEN(ReferenceData!$AS$34),"",ReferenceData!$AS$34),"")</f>
        <v>175.71199999999999</v>
      </c>
      <c r="AT34">
        <f ca="1">IFERROR(IF(0=LEN(ReferenceData!$AT$34),"",ReferenceData!$AT$34),"")</f>
        <v>173.78399999999999</v>
      </c>
      <c r="AU34">
        <f ca="1">IFERROR(IF(0=LEN(ReferenceData!$AU$34),"",ReferenceData!$AU$34),"")</f>
        <v>243.03200000000001</v>
      </c>
      <c r="AV34">
        <f ca="1">IFERROR(IF(0=LEN(ReferenceData!$AV$34),"",ReferenceData!$AV$34),"")</f>
        <v>245.047</v>
      </c>
      <c r="AW34">
        <f ca="1">IFERROR(IF(0=LEN(ReferenceData!$AW$34),"",ReferenceData!$AW$34),"")</f>
        <v>245.321</v>
      </c>
      <c r="AX34">
        <f ca="1">IFERROR(IF(0=LEN(ReferenceData!$AX$34),"",ReferenceData!$AX$34),"")</f>
        <v>280.738</v>
      </c>
      <c r="AY34">
        <f ca="1">IFERROR(IF(0=LEN(ReferenceData!$AY$34),"",ReferenceData!$AY$34),"")</f>
        <v>305.70400000000001</v>
      </c>
      <c r="AZ34">
        <f ca="1">IFERROR(IF(0=LEN(ReferenceData!$AZ$34),"",ReferenceData!$AZ$34),"")</f>
        <v>315.09100000000001</v>
      </c>
      <c r="BA34">
        <f ca="1">IFERROR(IF(0=LEN(ReferenceData!$BA$34),"",ReferenceData!$BA$34),"")</f>
        <v>324.36099999999999</v>
      </c>
      <c r="BB34">
        <f ca="1">IFERROR(IF(0=LEN(ReferenceData!$BB$34),"",ReferenceData!$BB$34),"")</f>
        <v>429.26600000000002</v>
      </c>
      <c r="BC34">
        <f ca="1">IFERROR(IF(0=LEN(ReferenceData!$BC$34),"",ReferenceData!$BC$34),"")</f>
        <v>378.51400000000001</v>
      </c>
      <c r="BD34">
        <f ca="1">IFERROR(IF(0=LEN(ReferenceData!$BD$34),"",ReferenceData!$BD$34),"")</f>
        <v>411.50299999999999</v>
      </c>
      <c r="BE34">
        <f ca="1">IFERROR(IF(0=LEN(ReferenceData!$BE$34),"",ReferenceData!$BE$34),"")</f>
        <v>572.73800000000006</v>
      </c>
      <c r="BF34">
        <f ca="1">IFERROR(IF(0=LEN(ReferenceData!$BF$34),"",ReferenceData!$BF$34),"")</f>
        <v>724.66200000000003</v>
      </c>
      <c r="BG34">
        <f ca="1">IFERROR(IF(0=LEN(ReferenceData!$BG$34),"",ReferenceData!$BG$34),"")</f>
        <v>499.065</v>
      </c>
      <c r="BH34">
        <f ca="1">IFERROR(IF(0=LEN(ReferenceData!$BH$34),"",ReferenceData!$BH$34),"")</f>
        <v>162.273</v>
      </c>
      <c r="BI34">
        <f ca="1">IFERROR(IF(0=LEN(ReferenceData!$BI$34),"",ReferenceData!$BI$34),"")</f>
        <v>490.77800000000002</v>
      </c>
      <c r="BJ34">
        <f ca="1">IFERROR(IF(0=LEN(ReferenceData!$BJ$34),"",ReferenceData!$BJ$34),"")</f>
        <v>652.95600000000002</v>
      </c>
      <c r="BK34">
        <f ca="1">IFERROR(IF(0=LEN(ReferenceData!$BK$34),"",ReferenceData!$BK$34),"")</f>
        <v>728.16600000000005</v>
      </c>
      <c r="BL34">
        <f ca="1">IFERROR(IF(0=LEN(ReferenceData!$BL$34),"",ReferenceData!$BL$34),"")</f>
        <v>931.93499999999995</v>
      </c>
      <c r="BM34" t="str">
        <f ca="1">IFERROR(IF(0=LEN(ReferenceData!$BM$34),"",ReferenceData!$BM$34),"")</f>
        <v/>
      </c>
    </row>
    <row r="35" spans="1:65" x14ac:dyDescent="0.25">
      <c r="A35" t="str">
        <f>IFERROR(IF(0=LEN(ReferenceData!$A$35),"",ReferenceData!$A$35),"")</f>
        <v xml:space="preserve">                Huntington Bancshares Inc/OH</v>
      </c>
      <c r="B35" t="str">
        <f>IFERROR(IF(0=LEN(ReferenceData!$B$35),"",ReferenceData!$B$35),"")</f>
        <v>HBAN US Equity</v>
      </c>
      <c r="C35" t="str">
        <f>IFERROR(IF(0=LEN(ReferenceData!$C$35),"",ReferenceData!$C$35),"")</f>
        <v>FC471</v>
      </c>
      <c r="D35" t="str">
        <f>IFERROR(IF(0=LEN(ReferenceData!$D$35),"",ReferenceData!$D$35),"")</f>
        <v>FDIC_SECS_AVAIL_FOR_SALE_MKT_VAL</v>
      </c>
      <c r="E35" t="str">
        <f>IFERROR(IF(0=LEN(ReferenceData!$E$35),"",ReferenceData!$E$35),"")</f>
        <v>Dynamic</v>
      </c>
      <c r="F35">
        <f ca="1">IFERROR(IF(0=LEN(ReferenceData!$F$35),"",ReferenceData!$F$35),"")</f>
        <v>27272.758000000002</v>
      </c>
      <c r="G35">
        <f ca="1">IFERROR(IF(0=LEN(ReferenceData!$G$35),"",ReferenceData!$G$35),"")</f>
        <v>28491.954000000002</v>
      </c>
      <c r="H35">
        <f ca="1">IFERROR(IF(0=LEN(ReferenceData!$H$35),"",ReferenceData!$H$35),"")</f>
        <v>27454.237000000001</v>
      </c>
      <c r="I35">
        <f ca="1">IFERROR(IF(0=LEN(ReferenceData!$I$35),"",ReferenceData!$I$35),"")</f>
        <v>26800.598999999998</v>
      </c>
      <c r="J35">
        <f ca="1">IFERROR(IF(0=LEN(ReferenceData!$J$35),"",ReferenceData!$J$35),"")</f>
        <v>25305.156999999999</v>
      </c>
      <c r="K35">
        <f ca="1">IFERROR(IF(0=LEN(ReferenceData!$K$35),"",ReferenceData!$K$35),"")</f>
        <v>21863.071</v>
      </c>
      <c r="L35">
        <f ca="1">IFERROR(IF(0=LEN(ReferenceData!$L$35),"",ReferenceData!$L$35),"")</f>
        <v>23233.03</v>
      </c>
      <c r="M35">
        <f ca="1">IFERROR(IF(0=LEN(ReferenceData!$M$35),"",ReferenceData!$M$35),"")</f>
        <v>24085.623</v>
      </c>
      <c r="N35">
        <f ca="1">IFERROR(IF(0=LEN(ReferenceData!$N$35),"",ReferenceData!$N$35),"")</f>
        <v>23422.547999999999</v>
      </c>
      <c r="O35">
        <f ca="1">IFERROR(IF(0=LEN(ReferenceData!$O$35),"",ReferenceData!$O$35),"")</f>
        <v>23305.781999999999</v>
      </c>
      <c r="P35">
        <f ca="1">IFERROR(IF(0=LEN(ReferenceData!$P$35),"",ReferenceData!$P$35),"")</f>
        <v>24376.76</v>
      </c>
      <c r="Q35">
        <f ca="1">IFERROR(IF(0=LEN(ReferenceData!$Q$35),"",ReferenceData!$Q$35),"")</f>
        <v>25151.280999999999</v>
      </c>
      <c r="R35">
        <f ca="1">IFERROR(IF(0=LEN(ReferenceData!$R$35),"",ReferenceData!$R$35),"")</f>
        <v>28459.611000000001</v>
      </c>
      <c r="S35">
        <f ca="1">IFERROR(IF(0=LEN(ReferenceData!$S$35),"",ReferenceData!$S$35),"")</f>
        <v>25653.821</v>
      </c>
      <c r="T35">
        <f ca="1">IFERROR(IF(0=LEN(ReferenceData!$T$35),"",ReferenceData!$T$35),"")</f>
        <v>22915.057000000001</v>
      </c>
      <c r="U35">
        <f ca="1">IFERROR(IF(0=LEN(ReferenceData!$U$35),"",ReferenceData!$U$35),"")</f>
        <v>19374.739000000001</v>
      </c>
      <c r="V35">
        <f ca="1">IFERROR(IF(0=LEN(ReferenceData!$V$35),"",ReferenceData!$V$35),"")</f>
        <v>16485.358</v>
      </c>
      <c r="W35">
        <f ca="1">IFERROR(IF(0=LEN(ReferenceData!$W$35),"",ReferenceData!$W$35),"")</f>
        <v>14806.766</v>
      </c>
      <c r="X35">
        <f ca="1">IFERROR(IF(0=LEN(ReferenceData!$X$35),"",ReferenceData!$X$35),"")</f>
        <v>13297.412</v>
      </c>
      <c r="Y35">
        <f ca="1">IFERROR(IF(0=LEN(ReferenceData!$Y$35),"",ReferenceData!$Y$35),"")</f>
        <v>14622.112999999999</v>
      </c>
      <c r="Z35">
        <f ca="1">IFERROR(IF(0=LEN(ReferenceData!$Z$35),"",ReferenceData!$Z$35),"")</f>
        <v>14148.686</v>
      </c>
      <c r="AA35">
        <f ca="1">IFERROR(IF(0=LEN(ReferenceData!$AA$35),"",ReferenceData!$AA$35),"")</f>
        <v>14286.328</v>
      </c>
      <c r="AB35">
        <f ca="1">IFERROR(IF(0=LEN(ReferenceData!$AB$35),"",ReferenceData!$AB$35),"")</f>
        <v>13694.518</v>
      </c>
      <c r="AC35">
        <f ca="1">IFERROR(IF(0=LEN(ReferenceData!$AC$35),"",ReferenceData!$AC$35),"")</f>
        <v>13982.368</v>
      </c>
      <c r="AD35">
        <f ca="1">IFERROR(IF(0=LEN(ReferenceData!$AD$35),"",ReferenceData!$AD$35),"")</f>
        <v>13780.338</v>
      </c>
      <c r="AE35">
        <f ca="1">IFERROR(IF(0=LEN(ReferenceData!$AE$35),"",ReferenceData!$AE$35),"")</f>
        <v>13727.004999999999</v>
      </c>
      <c r="AF35">
        <f ca="1">IFERROR(IF(0=LEN(ReferenceData!$AF$35),"",ReferenceData!$AF$35),"")</f>
        <v>14070.288</v>
      </c>
      <c r="AG35">
        <f ca="1">IFERROR(IF(0=LEN(ReferenceData!$AG$35),"",ReferenceData!$AG$35),"")</f>
        <v>14607.128000000001</v>
      </c>
      <c r="AH35">
        <f ca="1">IFERROR(IF(0=LEN(ReferenceData!$AH$35),"",ReferenceData!$AH$35),"")</f>
        <v>14888.262000000001</v>
      </c>
      <c r="AI35">
        <f ca="1">IFERROR(IF(0=LEN(ReferenceData!$AI$35),"",ReferenceData!$AI$35),"")</f>
        <v>14870.041999999999</v>
      </c>
      <c r="AJ35">
        <f ca="1">IFERROR(IF(0=LEN(ReferenceData!$AJ$35),"",ReferenceData!$AJ$35),"")</f>
        <v>14802.834000000001</v>
      </c>
      <c r="AK35">
        <f ca="1">IFERROR(IF(0=LEN(ReferenceData!$AK$35),"",ReferenceData!$AK$35),"")</f>
        <v>15620.977000000001</v>
      </c>
      <c r="AL35">
        <f ca="1">IFERROR(IF(0=LEN(ReferenceData!$AL$35),"",ReferenceData!$AL$35),"")</f>
        <v>15015.133</v>
      </c>
      <c r="AM35">
        <f ca="1">IFERROR(IF(0=LEN(ReferenceData!$AM$35),"",ReferenceData!$AM$35),"")</f>
        <v>15978.294</v>
      </c>
      <c r="AN35">
        <f ca="1">IFERROR(IF(0=LEN(ReferenceData!$AN$35),"",ReferenceData!$AN$35),"")</f>
        <v>9319.2870000000003</v>
      </c>
      <c r="AO35">
        <f ca="1">IFERROR(IF(0=LEN(ReferenceData!$AO$35),"",ReferenceData!$AO$35),"")</f>
        <v>8985.9210000000003</v>
      </c>
      <c r="AP35">
        <f ca="1">IFERROR(IF(0=LEN(ReferenceData!$AP$35),"",ReferenceData!$AP$35),"")</f>
        <v>8442.6550000000007</v>
      </c>
      <c r="AQ35">
        <f ca="1">IFERROR(IF(0=LEN(ReferenceData!$AQ$35),"",ReferenceData!$AQ$35),"")</f>
        <v>10762.45</v>
      </c>
      <c r="AR35">
        <f ca="1">IFERROR(IF(0=LEN(ReferenceData!$AR$35),"",ReferenceData!$AR$35),"")</f>
        <v>9922.7759999999998</v>
      </c>
      <c r="AS35">
        <f ca="1">IFERROR(IF(0=LEN(ReferenceData!$AS$35),"",ReferenceData!$AS$35),"")</f>
        <v>9590.6280000000006</v>
      </c>
      <c r="AT35">
        <f ca="1">IFERROR(IF(0=LEN(ReferenceData!$AT$35),"",ReferenceData!$AT$35),"")</f>
        <v>9053.11</v>
      </c>
      <c r="AU35">
        <f ca="1">IFERROR(IF(0=LEN(ReferenceData!$AU$35),"",ReferenceData!$AU$35),"")</f>
        <v>8390.482</v>
      </c>
      <c r="AV35">
        <f ca="1">IFERROR(IF(0=LEN(ReferenceData!$AV$35),"",ReferenceData!$AV$35),"")</f>
        <v>8159.9769999999999</v>
      </c>
      <c r="AW35">
        <f ca="1">IFERROR(IF(0=LEN(ReferenceData!$AW$35),"",ReferenceData!$AW$35),"")</f>
        <v>7431.6379999999999</v>
      </c>
      <c r="AX35">
        <f ca="1">IFERROR(IF(0=LEN(ReferenceData!$AX$35),"",ReferenceData!$AX$35),"")</f>
        <v>6987.7619999999997</v>
      </c>
      <c r="AY35">
        <f ca="1">IFERROR(IF(0=LEN(ReferenceData!$AY$35),"",ReferenceData!$AY$35),"")</f>
        <v>6129.2190000000001</v>
      </c>
      <c r="AZ35">
        <f ca="1">IFERROR(IF(0=LEN(ReferenceData!$AZ$35),"",ReferenceData!$AZ$35),"")</f>
        <v>6499.4859999999999</v>
      </c>
      <c r="BA35">
        <f ca="1">IFERROR(IF(0=LEN(ReferenceData!$BA$35),"",ReferenceData!$BA$35),"")</f>
        <v>7192.9</v>
      </c>
      <c r="BB35">
        <f ca="1">IFERROR(IF(0=LEN(ReferenceData!$BB$35),"",ReferenceData!$BB$35),"")</f>
        <v>7258.1040000000003</v>
      </c>
      <c r="BC35">
        <f ca="1">IFERROR(IF(0=LEN(ReferenceData!$BC$35),"",ReferenceData!$BC$35),"")</f>
        <v>7477.1040000000003</v>
      </c>
      <c r="BD35">
        <f ca="1">IFERROR(IF(0=LEN(ReferenceData!$BD$35),"",ReferenceData!$BD$35),"")</f>
        <v>8370.7440000000006</v>
      </c>
      <c r="BE35">
        <f ca="1">IFERROR(IF(0=LEN(ReferenceData!$BE$35),"",ReferenceData!$BE$35),"")</f>
        <v>8618.43</v>
      </c>
      <c r="BF35">
        <f ca="1">IFERROR(IF(0=LEN(ReferenceData!$BF$35),"",ReferenceData!$BF$35),"")</f>
        <v>7791.4989999999998</v>
      </c>
      <c r="BG35">
        <f ca="1">IFERROR(IF(0=LEN(ReferenceData!$BG$35),"",ReferenceData!$BG$35),"")</f>
        <v>8403.25</v>
      </c>
      <c r="BH35">
        <f ca="1">IFERROR(IF(0=LEN(ReferenceData!$BH$35),"",ReferenceData!$BH$35),"")</f>
        <v>7796.0550000000003</v>
      </c>
      <c r="BI35">
        <f ca="1">IFERROR(IF(0=LEN(ReferenceData!$BI$35),"",ReferenceData!$BI$35),"")</f>
        <v>9013.9770000000008</v>
      </c>
      <c r="BJ35">
        <f ca="1">IFERROR(IF(0=LEN(ReferenceData!$BJ$35),"",ReferenceData!$BJ$35),"")</f>
        <v>9586.5220000000008</v>
      </c>
      <c r="BK35">
        <f ca="1">IFERROR(IF(0=LEN(ReferenceData!$BK$35),"",ReferenceData!$BK$35),"")</f>
        <v>9413.4159999999993</v>
      </c>
      <c r="BL35">
        <f ca="1">IFERROR(IF(0=LEN(ReferenceData!$BL$35),"",ReferenceData!$BL$35),"")</f>
        <v>8498.8040000000001</v>
      </c>
      <c r="BM35" t="str">
        <f ca="1">IFERROR(IF(0=LEN(ReferenceData!$BM$35),"",ReferenceData!$BM$35),"")</f>
        <v/>
      </c>
    </row>
    <row r="36" spans="1:65" x14ac:dyDescent="0.25">
      <c r="A36" t="str">
        <f>IFERROR(IF(0=LEN(ReferenceData!$A$36),"",ReferenceData!$A$36),"")</f>
        <v xml:space="preserve">                JPMorgan Chase &amp; Co</v>
      </c>
      <c r="B36" t="str">
        <f>IFERROR(IF(0=LEN(ReferenceData!$B$36),"",ReferenceData!$B$36),"")</f>
        <v>JPM US Equity</v>
      </c>
      <c r="C36" t="str">
        <f>IFERROR(IF(0=LEN(ReferenceData!$C$36),"",ReferenceData!$C$36),"")</f>
        <v>FC471</v>
      </c>
      <c r="D36" t="str">
        <f>IFERROR(IF(0=LEN(ReferenceData!$D$36),"",ReferenceData!$D$36),"")</f>
        <v>FDIC_SECS_AVAIL_FOR_SALE_MKT_VAL</v>
      </c>
      <c r="E36" t="str">
        <f>IFERROR(IF(0=LEN(ReferenceData!$E$36),"",ReferenceData!$E$36),"")</f>
        <v>Dynamic</v>
      </c>
      <c r="F36">
        <f ca="1">IFERROR(IF(0=LEN(ReferenceData!$F$36),"",ReferenceData!$F$36),"")</f>
        <v>406852</v>
      </c>
      <c r="G36">
        <f ca="1">IFERROR(IF(0=LEN(ReferenceData!$G$36),"",ReferenceData!$G$36),"")</f>
        <v>334548</v>
      </c>
      <c r="H36">
        <f ca="1">IFERROR(IF(0=LEN(ReferenceData!$H$36),"",ReferenceData!$H$36),"")</f>
        <v>266252</v>
      </c>
      <c r="I36">
        <f ca="1">IFERROR(IF(0=LEN(ReferenceData!$I$36),"",ReferenceData!$I$36),"")</f>
        <v>236152</v>
      </c>
      <c r="J36">
        <f ca="1">IFERROR(IF(0=LEN(ReferenceData!$J$36),"",ReferenceData!$J$36),"")</f>
        <v>201704</v>
      </c>
      <c r="K36">
        <f ca="1">IFERROR(IF(0=LEN(ReferenceData!$K$36),"",ReferenceData!$K$36),"")</f>
        <v>197119</v>
      </c>
      <c r="L36">
        <f ca="1">IFERROR(IF(0=LEN(ReferenceData!$L$36),"",ReferenceData!$L$36),"")</f>
        <v>203262</v>
      </c>
      <c r="M36">
        <f ca="1">IFERROR(IF(0=LEN(ReferenceData!$M$36),"",ReferenceData!$M$36),"")</f>
        <v>197248</v>
      </c>
      <c r="N36">
        <f ca="1">IFERROR(IF(0=LEN(ReferenceData!$N$36),"",ReferenceData!$N$36),"")</f>
        <v>205857</v>
      </c>
      <c r="O36">
        <f ca="1">IFERROR(IF(0=LEN(ReferenceData!$O$36),"",ReferenceData!$O$36),"")</f>
        <v>188140</v>
      </c>
      <c r="P36">
        <f ca="1">IFERROR(IF(0=LEN(ReferenceData!$P$36),"",ReferenceData!$P$36),"")</f>
        <v>222069</v>
      </c>
      <c r="Q36">
        <f ca="1">IFERROR(IF(0=LEN(ReferenceData!$Q$36),"",ReferenceData!$Q$36),"")</f>
        <v>312875</v>
      </c>
      <c r="R36">
        <f ca="1">IFERROR(IF(0=LEN(ReferenceData!$R$36),"",ReferenceData!$R$36),"")</f>
        <v>308525</v>
      </c>
      <c r="S36">
        <f ca="1">IFERROR(IF(0=LEN(ReferenceData!$S$36),"",ReferenceData!$S$36),"")</f>
        <v>251590</v>
      </c>
      <c r="T36">
        <f ca="1">IFERROR(IF(0=LEN(ReferenceData!$T$36),"",ReferenceData!$T$36),"")</f>
        <v>232161</v>
      </c>
      <c r="U36">
        <f ca="1">IFERROR(IF(0=LEN(ReferenceData!$U$36),"",ReferenceData!$U$36),"")</f>
        <v>379942</v>
      </c>
      <c r="V36">
        <f ca="1">IFERROR(IF(0=LEN(ReferenceData!$V$36),"",ReferenceData!$V$36),"")</f>
        <v>388178</v>
      </c>
      <c r="W36">
        <f ca="1">IFERROR(IF(0=LEN(ReferenceData!$W$36),"",ReferenceData!$W$36),"")</f>
        <v>389583</v>
      </c>
      <c r="X36">
        <f ca="1">IFERROR(IF(0=LEN(ReferenceData!$X$36),"",ReferenceData!$X$36),"")</f>
        <v>485883</v>
      </c>
      <c r="Y36">
        <f ca="1">IFERROR(IF(0=LEN(ReferenceData!$Y$36),"",ReferenceData!$Y$36),"")</f>
        <v>399868</v>
      </c>
      <c r="Z36">
        <f ca="1">IFERROR(IF(0=LEN(ReferenceData!$Z$36),"",ReferenceData!$Z$36),"")</f>
        <v>350622</v>
      </c>
      <c r="AA36">
        <f ca="1">IFERROR(IF(0=LEN(ReferenceData!$AA$36),"",ReferenceData!$AA$36),"")</f>
        <v>353347</v>
      </c>
      <c r="AB36">
        <f ca="1">IFERROR(IF(0=LEN(ReferenceData!$AB$36),"",ReferenceData!$AB$36),"")</f>
        <v>276283</v>
      </c>
      <c r="AC36">
        <f ca="1">IFERROR(IF(0=LEN(ReferenceData!$AC$36),"",ReferenceData!$AC$36),"")</f>
        <v>236441</v>
      </c>
      <c r="AD36">
        <f ca="1">IFERROR(IF(0=LEN(ReferenceData!$AD$36),"",ReferenceData!$AD$36),"")</f>
        <v>230319</v>
      </c>
      <c r="AE36">
        <f ca="1">IFERROR(IF(0=LEN(ReferenceData!$AE$36),"",ReferenceData!$AE$36),"")</f>
        <v>199955</v>
      </c>
      <c r="AF36">
        <f ca="1">IFERROR(IF(0=LEN(ReferenceData!$AF$36),"",ReferenceData!$AF$36),"")</f>
        <v>201934</v>
      </c>
      <c r="AG36">
        <f ca="1">IFERROR(IF(0=LEN(ReferenceData!$AG$36),"",ReferenceData!$AG$36),"")</f>
        <v>209086</v>
      </c>
      <c r="AH36">
        <f ca="1">IFERROR(IF(0=LEN(ReferenceData!$AH$36),"",ReferenceData!$AH$36),"")</f>
        <v>202166</v>
      </c>
      <c r="AI36">
        <f ca="1">IFERROR(IF(0=LEN(ReferenceData!$AI$36),"",ReferenceData!$AI$36),"")</f>
        <v>216151</v>
      </c>
      <c r="AJ36">
        <f ca="1">IFERROR(IF(0=LEN(ReferenceData!$AJ$36),"",ReferenceData!$AJ$36),"")</f>
        <v>215640</v>
      </c>
      <c r="AK36">
        <f ca="1">IFERROR(IF(0=LEN(ReferenceData!$AK$36),"",ReferenceData!$AK$36),"")</f>
        <v>232879</v>
      </c>
      <c r="AL36">
        <f ca="1">IFERROR(IF(0=LEN(ReferenceData!$AL$36),"",ReferenceData!$AL$36),"")</f>
        <v>238785</v>
      </c>
      <c r="AM36">
        <f ca="1">IFERROR(IF(0=LEN(ReferenceData!$AM$36),"",ReferenceData!$AM$36),"")</f>
        <v>220282</v>
      </c>
      <c r="AN36">
        <f ca="1">IFERROR(IF(0=LEN(ReferenceData!$AN$36),"",ReferenceData!$AN$36),"")</f>
        <v>224693</v>
      </c>
      <c r="AO36">
        <f ca="1">IFERROR(IF(0=LEN(ReferenceData!$AO$36),"",ReferenceData!$AO$36),"")</f>
        <v>237338</v>
      </c>
      <c r="AP36">
        <f ca="1">IFERROR(IF(0=LEN(ReferenceData!$AP$36),"",ReferenceData!$AP$36),"")</f>
        <v>241471</v>
      </c>
      <c r="AQ36">
        <f ca="1">IFERROR(IF(0=LEN(ReferenceData!$AQ$36),"",ReferenceData!$AQ$36),"")</f>
        <v>256073</v>
      </c>
      <c r="AR36">
        <f ca="1">IFERROR(IF(0=LEN(ReferenceData!$AR$36),"",ReferenceData!$AR$36),"")</f>
        <v>265772</v>
      </c>
      <c r="AS36">
        <f ca="1">IFERROR(IF(0=LEN(ReferenceData!$AS$36),"",ReferenceData!$AS$36),"")</f>
        <v>280849</v>
      </c>
      <c r="AT36">
        <f ca="1">IFERROR(IF(0=LEN(ReferenceData!$AT$36),"",ReferenceData!$AT$36),"")</f>
        <v>297649</v>
      </c>
      <c r="AU36">
        <f ca="1">IFERROR(IF(0=LEN(ReferenceData!$AU$36),"",ReferenceData!$AU$36),"")</f>
        <v>316224</v>
      </c>
      <c r="AV36">
        <f ca="1">IFERROR(IF(0=LEN(ReferenceData!$AV$36),"",ReferenceData!$AV$36),"")</f>
        <v>312659</v>
      </c>
      <c r="AW36">
        <f ca="1">IFERROR(IF(0=LEN(ReferenceData!$AW$36),"",ReferenceData!$AW$36),"")</f>
        <v>303068</v>
      </c>
      <c r="AX36">
        <f ca="1">IFERROR(IF(0=LEN(ReferenceData!$AX$36),"",ReferenceData!$AX$36),"")</f>
        <v>328936</v>
      </c>
      <c r="AY36">
        <f ca="1">IFERROR(IF(0=LEN(ReferenceData!$AY$36),"",ReferenceData!$AY$36),"")</f>
        <v>351093</v>
      </c>
      <c r="AZ36">
        <f ca="1">IFERROR(IF(0=LEN(ReferenceData!$AZ$36),"",ReferenceData!$AZ$36),"")</f>
        <v>353131</v>
      </c>
      <c r="BA36">
        <f ca="1">IFERROR(IF(0=LEN(ReferenceData!$BA$36),"",ReferenceData!$BA$36),"")</f>
        <v>363358</v>
      </c>
      <c r="BB36">
        <f ca="1">IFERROR(IF(0=LEN(ReferenceData!$BB$36),"",ReferenceData!$BB$36),"")</f>
        <v>368362</v>
      </c>
      <c r="BC36">
        <f ca="1">IFERROR(IF(0=LEN(ReferenceData!$BC$36),"",ReferenceData!$BC$36),"")</f>
        <v>362358</v>
      </c>
      <c r="BD36">
        <f ca="1">IFERROR(IF(0=LEN(ReferenceData!$BD$36),"",ReferenceData!$BD$36),"")</f>
        <v>351592</v>
      </c>
      <c r="BE36">
        <f ca="1">IFERROR(IF(0=LEN(ReferenceData!$BE$36),"",ReferenceData!$BE$36),"")</f>
        <v>378687</v>
      </c>
      <c r="BF36">
        <f ca="1">IFERROR(IF(0=LEN(ReferenceData!$BF$36),"",ReferenceData!$BF$36),"")</f>
        <v>361764</v>
      </c>
      <c r="BG36">
        <f ca="1">IFERROR(IF(0=LEN(ReferenceData!$BG$36),"",ReferenceData!$BG$36),"")</f>
        <v>334363</v>
      </c>
      <c r="BH36">
        <f ca="1">IFERROR(IF(0=LEN(ReferenceData!$BH$36),"",ReferenceData!$BH$36),"")</f>
        <v>319865</v>
      </c>
      <c r="BI36">
        <f ca="1">IFERROR(IF(0=LEN(ReferenceData!$BI$36),"",ReferenceData!$BI$36),"")</f>
        <v>331295</v>
      </c>
      <c r="BJ36">
        <f ca="1">IFERROR(IF(0=LEN(ReferenceData!$BJ$36),"",ReferenceData!$BJ$36),"")</f>
        <v>312671</v>
      </c>
      <c r="BK36">
        <f ca="1">IFERROR(IF(0=LEN(ReferenceData!$BK$36),"",ReferenceData!$BK$36),"")</f>
        <v>337277</v>
      </c>
      <c r="BL36">
        <f ca="1">IFERROR(IF(0=LEN(ReferenceData!$BL$36),"",ReferenceData!$BL$36),"")</f>
        <v>309754</v>
      </c>
      <c r="BM36" t="str">
        <f ca="1">IFERROR(IF(0=LEN(ReferenceData!$BM$36),"",ReferenceData!$BM$36),"")</f>
        <v/>
      </c>
    </row>
    <row r="37" spans="1:65" x14ac:dyDescent="0.25">
      <c r="A37" t="str">
        <f>IFERROR(IF(0=LEN(ReferenceData!$A$37),"",ReferenceData!$A$37),"")</f>
        <v xml:space="preserve">                KeyCorp</v>
      </c>
      <c r="B37" t="str">
        <f>IFERROR(IF(0=LEN(ReferenceData!$B$37),"",ReferenceData!$B$37),"")</f>
        <v>KEY US Equity</v>
      </c>
      <c r="C37" t="str">
        <f>IFERROR(IF(0=LEN(ReferenceData!$C$37),"",ReferenceData!$C$37),"")</f>
        <v>FC471</v>
      </c>
      <c r="D37" t="str">
        <f>IFERROR(IF(0=LEN(ReferenceData!$D$37),"",ReferenceData!$D$37),"")</f>
        <v>FDIC_SECS_AVAIL_FOR_SALE_MKT_VAL</v>
      </c>
      <c r="E37" t="str">
        <f>IFERROR(IF(0=LEN(ReferenceData!$E$37),"",ReferenceData!$E$37),"")</f>
        <v>Dynamic</v>
      </c>
      <c r="F37">
        <f ca="1">IFERROR(IF(0=LEN(ReferenceData!$F$37),"",ReferenceData!$F$37),"")</f>
        <v>37706.589999999997</v>
      </c>
      <c r="G37">
        <f ca="1">IFERROR(IF(0=LEN(ReferenceData!$G$37),"",ReferenceData!$G$37),"")</f>
        <v>34169.269</v>
      </c>
      <c r="H37">
        <f ca="1">IFERROR(IF(0=LEN(ReferenceData!$H$37),"",ReferenceData!$H$37),"")</f>
        <v>37459.909</v>
      </c>
      <c r="I37">
        <f ca="1">IFERROR(IF(0=LEN(ReferenceData!$I$37),"",ReferenceData!$I$37),"")</f>
        <v>37297.712</v>
      </c>
      <c r="J37">
        <f ca="1">IFERROR(IF(0=LEN(ReferenceData!$J$37),"",ReferenceData!$J$37),"")</f>
        <v>37185.498</v>
      </c>
      <c r="K37">
        <f ca="1">IFERROR(IF(0=LEN(ReferenceData!$K$37),"",ReferenceData!$K$37),"")</f>
        <v>35839.08</v>
      </c>
      <c r="L37">
        <f ca="1">IFERROR(IF(0=LEN(ReferenceData!$L$37),"",ReferenceData!$L$37),"")</f>
        <v>37907.576999999997</v>
      </c>
      <c r="M37">
        <f ca="1">IFERROR(IF(0=LEN(ReferenceData!$M$37),"",ReferenceData!$M$37),"")</f>
        <v>39497.699999999997</v>
      </c>
      <c r="N37">
        <f ca="1">IFERROR(IF(0=LEN(ReferenceData!$N$37),"",ReferenceData!$N$37),"")</f>
        <v>39116.716</v>
      </c>
      <c r="O37">
        <f ca="1">IFERROR(IF(0=LEN(ReferenceData!$O$37),"",ReferenceData!$O$37),"")</f>
        <v>39999.857000000004</v>
      </c>
      <c r="P37">
        <f ca="1">IFERROR(IF(0=LEN(ReferenceData!$P$37),"",ReferenceData!$P$37),"")</f>
        <v>42436.595000000001</v>
      </c>
      <c r="Q37">
        <f ca="1">IFERROR(IF(0=LEN(ReferenceData!$Q$37),"",ReferenceData!$Q$37),"")</f>
        <v>43681.493999999999</v>
      </c>
      <c r="R37">
        <f ca="1">IFERROR(IF(0=LEN(ReferenceData!$R$37),"",ReferenceData!$R$37),"")</f>
        <v>45364.341999999997</v>
      </c>
      <c r="S37">
        <f ca="1">IFERROR(IF(0=LEN(ReferenceData!$S$37),"",ReferenceData!$S$37),"")</f>
        <v>40593.675000000003</v>
      </c>
      <c r="T37">
        <f ca="1">IFERROR(IF(0=LEN(ReferenceData!$T$37),"",ReferenceData!$T$37),"")</f>
        <v>34638.347000000002</v>
      </c>
      <c r="U37">
        <f ca="1">IFERROR(IF(0=LEN(ReferenceData!$U$37),"",ReferenceData!$U$37),"")</f>
        <v>33922.410000000003</v>
      </c>
      <c r="V37">
        <f ca="1">IFERROR(IF(0=LEN(ReferenceData!$V$37),"",ReferenceData!$V$37),"")</f>
        <v>27556.113000000001</v>
      </c>
      <c r="W37">
        <f ca="1">IFERROR(IF(0=LEN(ReferenceData!$W$37),"",ReferenceData!$W$37),"")</f>
        <v>27895.147000000001</v>
      </c>
      <c r="X37">
        <f ca="1">IFERROR(IF(0=LEN(ReferenceData!$X$37),"",ReferenceData!$X$37),"")</f>
        <v>23599.77</v>
      </c>
      <c r="Y37">
        <f ca="1">IFERROR(IF(0=LEN(ReferenceData!$Y$37),"",ReferenceData!$Y$37),"")</f>
        <v>20807.178</v>
      </c>
      <c r="Z37">
        <f ca="1">IFERROR(IF(0=LEN(ReferenceData!$Z$37),"",ReferenceData!$Z$37),"")</f>
        <v>21842.433000000001</v>
      </c>
      <c r="AA37">
        <f ca="1">IFERROR(IF(0=LEN(ReferenceData!$AA$37),"",ReferenceData!$AA$37),"")</f>
        <v>22377.811000000002</v>
      </c>
      <c r="AB37">
        <f ca="1">IFERROR(IF(0=LEN(ReferenceData!$AB$37),"",ReferenceData!$AB$37),"")</f>
        <v>21528.102999999999</v>
      </c>
      <c r="AC37">
        <f ca="1">IFERROR(IF(0=LEN(ReferenceData!$AC$37),"",ReferenceData!$AC$37),"")</f>
        <v>20853.653999999999</v>
      </c>
      <c r="AD37">
        <f ca="1">IFERROR(IF(0=LEN(ReferenceData!$AD$37),"",ReferenceData!$AD$37),"")</f>
        <v>19427.600999999999</v>
      </c>
      <c r="AE37">
        <f ca="1">IFERROR(IF(0=LEN(ReferenceData!$AE$37),"",ReferenceData!$AE$37),"")</f>
        <v>18341.286</v>
      </c>
      <c r="AF37">
        <f ca="1">IFERROR(IF(0=LEN(ReferenceData!$AF$37),"",ReferenceData!$AF$37),"")</f>
        <v>17367.366000000002</v>
      </c>
      <c r="AG37">
        <f ca="1">IFERROR(IF(0=LEN(ReferenceData!$AG$37),"",ReferenceData!$AG$37),"")</f>
        <v>17888.143</v>
      </c>
      <c r="AH37">
        <f ca="1">IFERROR(IF(0=LEN(ReferenceData!$AH$37),"",ReferenceData!$AH$37),"")</f>
        <v>18139.146000000001</v>
      </c>
      <c r="AI37">
        <f ca="1">IFERROR(IF(0=LEN(ReferenceData!$AI$37),"",ReferenceData!$AI$37),"")</f>
        <v>19011.437999999998</v>
      </c>
      <c r="AJ37">
        <f ca="1">IFERROR(IF(0=LEN(ReferenceData!$AJ$37),"",ReferenceData!$AJ$37),"")</f>
        <v>18023.704000000002</v>
      </c>
      <c r="AK37">
        <f ca="1">IFERROR(IF(0=LEN(ReferenceData!$AK$37),"",ReferenceData!$AK$37),"")</f>
        <v>18431.187000000002</v>
      </c>
      <c r="AL37">
        <f ca="1">IFERROR(IF(0=LEN(ReferenceData!$AL$37),"",ReferenceData!$AL$37),"")</f>
        <v>20211.651999999998</v>
      </c>
      <c r="AM37">
        <f ca="1">IFERROR(IF(0=LEN(ReferenceData!$AM$37),"",ReferenceData!$AM$37),"")</f>
        <v>20540.103999999999</v>
      </c>
      <c r="AN37">
        <f ca="1">IFERROR(IF(0=LEN(ReferenceData!$AN$37),"",ReferenceData!$AN$37),"")</f>
        <v>14551.664000000001</v>
      </c>
      <c r="AO37">
        <f ca="1">IFERROR(IF(0=LEN(ReferenceData!$AO$37),"",ReferenceData!$AO$37),"")</f>
        <v>14303.572</v>
      </c>
      <c r="AP37">
        <f ca="1">IFERROR(IF(0=LEN(ReferenceData!$AP$37),"",ReferenceData!$AP$37),"")</f>
        <v>14217.891</v>
      </c>
      <c r="AQ37">
        <f ca="1">IFERROR(IF(0=LEN(ReferenceData!$AQ$37),"",ReferenceData!$AQ$37),"")</f>
        <v>14375.946</v>
      </c>
      <c r="AR37">
        <f ca="1">IFERROR(IF(0=LEN(ReferenceData!$AR$37),"",ReferenceData!$AR$37),"")</f>
        <v>14243.868</v>
      </c>
      <c r="AS37">
        <f ca="1">IFERROR(IF(0=LEN(ReferenceData!$AS$37),"",ReferenceData!$AS$37),"")</f>
        <v>13120.127</v>
      </c>
      <c r="AT37">
        <f ca="1">IFERROR(IF(0=LEN(ReferenceData!$AT$37),"",ReferenceData!$AT$37),"")</f>
        <v>13359.713</v>
      </c>
      <c r="AU37">
        <f ca="1">IFERROR(IF(0=LEN(ReferenceData!$AU$37),"",ReferenceData!$AU$37),"")</f>
        <v>12244.438</v>
      </c>
      <c r="AV37">
        <f ca="1">IFERROR(IF(0=LEN(ReferenceData!$AV$37),"",ReferenceData!$AV$37),"")</f>
        <v>12223.947</v>
      </c>
      <c r="AW37">
        <f ca="1">IFERROR(IF(0=LEN(ReferenceData!$AW$37),"",ReferenceData!$AW$37),"")</f>
        <v>12358.522999999999</v>
      </c>
      <c r="AX37">
        <f ca="1">IFERROR(IF(0=LEN(ReferenceData!$AX$37),"",ReferenceData!$AX$37),"")</f>
        <v>12346.38</v>
      </c>
      <c r="AY37">
        <f ca="1">IFERROR(IF(0=LEN(ReferenceData!$AY$37),"",ReferenceData!$AY$37),"")</f>
        <v>12606.062</v>
      </c>
      <c r="AZ37">
        <f ca="1">IFERROR(IF(0=LEN(ReferenceData!$AZ$37),"",ReferenceData!$AZ$37),"")</f>
        <v>13252.933000000001</v>
      </c>
      <c r="BA37">
        <f ca="1">IFERROR(IF(0=LEN(ReferenceData!$BA$37),"",ReferenceData!$BA$37),"")</f>
        <v>13496.346</v>
      </c>
      <c r="BB37">
        <f ca="1">IFERROR(IF(0=LEN(ReferenceData!$BB$37),"",ReferenceData!$BB$37),"")</f>
        <v>12094.467000000001</v>
      </c>
      <c r="BC37">
        <f ca="1">IFERROR(IF(0=LEN(ReferenceData!$BC$37),"",ReferenceData!$BC$37),"")</f>
        <v>11961.9</v>
      </c>
      <c r="BD37">
        <f ca="1">IFERROR(IF(0=LEN(ReferenceData!$BD$37),"",ReferenceData!$BD$37),"")</f>
        <v>13204.934999999999</v>
      </c>
      <c r="BE37">
        <f ca="1">IFERROR(IF(0=LEN(ReferenceData!$BE$37),"",ReferenceData!$BE$37),"")</f>
        <v>14632.751</v>
      </c>
      <c r="BF37">
        <f ca="1">IFERROR(IF(0=LEN(ReferenceData!$BF$37),"",ReferenceData!$BF$37),"")</f>
        <v>16011.960999999999</v>
      </c>
      <c r="BG37">
        <f ca="1">IFERROR(IF(0=LEN(ReferenceData!$BG$37),"",ReferenceData!$BG$37),"")</f>
        <v>17611.560000000001</v>
      </c>
      <c r="BH37">
        <f ca="1">IFERROR(IF(0=LEN(ReferenceData!$BH$37),"",ReferenceData!$BH$37),"")</f>
        <v>18680.002</v>
      </c>
      <c r="BI37">
        <f ca="1">IFERROR(IF(0=LEN(ReferenceData!$BI$37),"",ReferenceData!$BI$37),"")</f>
        <v>19447.974999999999</v>
      </c>
      <c r="BJ37">
        <f ca="1">IFERROR(IF(0=LEN(ReferenceData!$BJ$37),"",ReferenceData!$BJ$37),"")</f>
        <v>21932.718000000001</v>
      </c>
      <c r="BK37">
        <f ca="1">IFERROR(IF(0=LEN(ReferenceData!$BK$37),"",ReferenceData!$BK$37),"")</f>
        <v>21240.620999999999</v>
      </c>
      <c r="BL37">
        <f ca="1">IFERROR(IF(0=LEN(ReferenceData!$BL$37),"",ReferenceData!$BL$37),"")</f>
        <v>19772.617999999999</v>
      </c>
      <c r="BM37" t="str">
        <f ca="1">IFERROR(IF(0=LEN(ReferenceData!$BM$37),"",ReferenceData!$BM$37),"")</f>
        <v/>
      </c>
    </row>
    <row r="38" spans="1:65" x14ac:dyDescent="0.25">
      <c r="A38" t="str">
        <f>IFERROR(IF(0=LEN(ReferenceData!$A$38),"",ReferenceData!$A$38),"")</f>
        <v xml:space="preserve">                M&amp;T Bank Corp</v>
      </c>
      <c r="B38" t="str">
        <f>IFERROR(IF(0=LEN(ReferenceData!$B$38),"",ReferenceData!$B$38),"")</f>
        <v>MTB US Equity</v>
      </c>
      <c r="C38" t="str">
        <f>IFERROR(IF(0=LEN(ReferenceData!$C$38),"",ReferenceData!$C$38),"")</f>
        <v>FC471</v>
      </c>
      <c r="D38" t="str">
        <f>IFERROR(IF(0=LEN(ReferenceData!$D$38),"",ReferenceData!$D$38),"")</f>
        <v>FDIC_SECS_AVAIL_FOR_SALE_MKT_VAL</v>
      </c>
      <c r="E38" t="str">
        <f>IFERROR(IF(0=LEN(ReferenceData!$E$38),"",ReferenceData!$E$38),"")</f>
        <v>Dynamic</v>
      </c>
      <c r="F38">
        <f ca="1">IFERROR(IF(0=LEN(ReferenceData!$F$38),"",ReferenceData!$F$38),"")</f>
        <v>18849.29</v>
      </c>
      <c r="G38">
        <f ca="1">IFERROR(IF(0=LEN(ReferenceData!$G$38),"",ReferenceData!$G$38),"")</f>
        <v>16726.683000000001</v>
      </c>
      <c r="H38">
        <f ca="1">IFERROR(IF(0=LEN(ReferenceData!$H$38),"",ReferenceData!$H$38),"")</f>
        <v>13891.665000000001</v>
      </c>
      <c r="I38">
        <f ca="1">IFERROR(IF(0=LEN(ReferenceData!$I$38),"",ReferenceData!$I$38),"")</f>
        <v>12133.781000000001</v>
      </c>
      <c r="J38">
        <f ca="1">IFERROR(IF(0=LEN(ReferenceData!$J$38),"",ReferenceData!$J$38),"")</f>
        <v>10440.198</v>
      </c>
      <c r="K38">
        <f ca="1">IFERROR(IF(0=LEN(ReferenceData!$K$38),"",ReferenceData!$K$38),"")</f>
        <v>10592.409</v>
      </c>
      <c r="L38">
        <f ca="1">IFERROR(IF(0=LEN(ReferenceData!$L$38),"",ReferenceData!$L$38),"")</f>
        <v>10807.659</v>
      </c>
      <c r="M38">
        <f ca="1">IFERROR(IF(0=LEN(ReferenceData!$M$38),"",ReferenceData!$M$38),"")</f>
        <v>11038.922</v>
      </c>
      <c r="N38">
        <f ca="1">IFERROR(IF(0=LEN(ReferenceData!$N$38),"",ReferenceData!$N$38),"")</f>
        <v>10748.960999999999</v>
      </c>
      <c r="O38">
        <f ca="1">IFERROR(IF(0=LEN(ReferenceData!$O$38),"",ReferenceData!$O$38),"")</f>
        <v>10870.346</v>
      </c>
      <c r="P38">
        <f ca="1">IFERROR(IF(0=LEN(ReferenceData!$P$38),"",ReferenceData!$P$38),"")</f>
        <v>8704.9549999999999</v>
      </c>
      <c r="Q38">
        <f ca="1">IFERROR(IF(0=LEN(ReferenceData!$Q$38),"",ReferenceData!$Q$38),"")</f>
        <v>5705.1989999999996</v>
      </c>
      <c r="R38">
        <f ca="1">IFERROR(IF(0=LEN(ReferenceData!$R$38),"",ReferenceData!$R$38),"")</f>
        <v>3955.8040000000001</v>
      </c>
      <c r="S38">
        <f ca="1">IFERROR(IF(0=LEN(ReferenceData!$S$38),"",ReferenceData!$S$38),"")</f>
        <v>3618.1060000000002</v>
      </c>
      <c r="T38">
        <f ca="1">IFERROR(IF(0=LEN(ReferenceData!$T$38),"",ReferenceData!$T$38),"")</f>
        <v>3959.7829999999999</v>
      </c>
      <c r="U38">
        <f ca="1">IFERROR(IF(0=LEN(ReferenceData!$U$38),"",ReferenceData!$U$38),"")</f>
        <v>4364.4369999999999</v>
      </c>
      <c r="V38">
        <f ca="1">IFERROR(IF(0=LEN(ReferenceData!$V$38),"",ReferenceData!$V$38),"")</f>
        <v>4822.6059999999998</v>
      </c>
      <c r="W38">
        <f ca="1">IFERROR(IF(0=LEN(ReferenceData!$W$38),"",ReferenceData!$W$38),"")</f>
        <v>5302.3379999999997</v>
      </c>
      <c r="X38">
        <f ca="1">IFERROR(IF(0=LEN(ReferenceData!$X$38),"",ReferenceData!$X$38),"")</f>
        <v>5821.2740000000003</v>
      </c>
      <c r="Y38">
        <f ca="1">IFERROR(IF(0=LEN(ReferenceData!$Y$38),"",ReferenceData!$Y$38),"")</f>
        <v>6139.9790000000003</v>
      </c>
      <c r="Z38">
        <f ca="1">IFERROR(IF(0=LEN(ReferenceData!$Z$38),"",ReferenceData!$Z$38),"")</f>
        <v>6318.7759999999998</v>
      </c>
      <c r="AA38">
        <f ca="1">IFERROR(IF(0=LEN(ReferenceData!$AA$38),"",ReferenceData!$AA$38),"")</f>
        <v>6985.4170000000004</v>
      </c>
      <c r="AB38">
        <f ca="1">IFERROR(IF(0=LEN(ReferenceData!$AB$38),"",ReferenceData!$AB$38),"")</f>
        <v>7380.34</v>
      </c>
      <c r="AC38">
        <f ca="1">IFERROR(IF(0=LEN(ReferenceData!$AC$38),"",ReferenceData!$AC$38),"")</f>
        <v>8325.5840000000007</v>
      </c>
      <c r="AD38">
        <f ca="1">IFERROR(IF(0=LEN(ReferenceData!$AD$38),"",ReferenceData!$AD$38),"")</f>
        <v>8682.509</v>
      </c>
      <c r="AE38">
        <f ca="1">IFERROR(IF(0=LEN(ReferenceData!$AE$38),"",ReferenceData!$AE$38),"")</f>
        <v>9154.5149999999994</v>
      </c>
      <c r="AF38">
        <f ca="1">IFERROR(IF(0=LEN(ReferenceData!$AF$38),"",ReferenceData!$AF$38),"")</f>
        <v>9658.8459999999995</v>
      </c>
      <c r="AG38">
        <f ca="1">IFERROR(IF(0=LEN(ReferenceData!$AG$38),"",ReferenceData!$AG$38),"")</f>
        <v>10297.856</v>
      </c>
      <c r="AH38">
        <f ca="1">IFERROR(IF(0=LEN(ReferenceData!$AH$38),"",ReferenceData!$AH$38),"")</f>
        <v>10896.284</v>
      </c>
      <c r="AI38">
        <f ca="1">IFERROR(IF(0=LEN(ReferenceData!$AI$38),"",ReferenceData!$AI$38),"")</f>
        <v>11416.087</v>
      </c>
      <c r="AJ38">
        <f ca="1">IFERROR(IF(0=LEN(ReferenceData!$AJ$38),"",ReferenceData!$AJ$38),"")</f>
        <v>11928.115</v>
      </c>
      <c r="AK38">
        <f ca="1">IFERROR(IF(0=LEN(ReferenceData!$AK$38),"",ReferenceData!$AK$38),"")</f>
        <v>12630.218000000001</v>
      </c>
      <c r="AL38">
        <f ca="1">IFERROR(IF(0=LEN(ReferenceData!$AL$38),"",ReferenceData!$AL$38),"")</f>
        <v>13331.365</v>
      </c>
      <c r="AM38">
        <f ca="1">IFERROR(IF(0=LEN(ReferenceData!$AM$38),"",ReferenceData!$AM$38),"")</f>
        <v>11861.861999999999</v>
      </c>
      <c r="AN38">
        <f ca="1">IFERROR(IF(0=LEN(ReferenceData!$AN$38),"",ReferenceData!$AN$38),"")</f>
        <v>11918.263000000001</v>
      </c>
      <c r="AO38">
        <f ca="1">IFERROR(IF(0=LEN(ReferenceData!$AO$38),"",ReferenceData!$AO$38),"")</f>
        <v>12199.951999999999</v>
      </c>
      <c r="AP38">
        <f ca="1">IFERROR(IF(0=LEN(ReferenceData!$AP$38),"",ReferenceData!$AP$38),"")</f>
        <v>12241.965</v>
      </c>
      <c r="AQ38">
        <f ca="1">IFERROR(IF(0=LEN(ReferenceData!$AQ$38),"",ReferenceData!$AQ$38),"")</f>
        <v>11158.789000000001</v>
      </c>
      <c r="AR38">
        <f ca="1">IFERROR(IF(0=LEN(ReferenceData!$AR$38),"",ReferenceData!$AR$38),"")</f>
        <v>11250.117</v>
      </c>
      <c r="AS38">
        <f ca="1">IFERROR(IF(0=LEN(ReferenceData!$AS$38),"",ReferenceData!$AS$38),"")</f>
        <v>10702.991</v>
      </c>
      <c r="AT38">
        <f ca="1">IFERROR(IF(0=LEN(ReferenceData!$AT$38),"",ReferenceData!$AT$38),"")</f>
        <v>9156.3819999999996</v>
      </c>
      <c r="AU38">
        <f ca="1">IFERROR(IF(0=LEN(ReferenceData!$AU$38),"",ReferenceData!$AU$38),"")</f>
        <v>9383.4869999999992</v>
      </c>
      <c r="AV38">
        <f ca="1">IFERROR(IF(0=LEN(ReferenceData!$AV$38),"",ReferenceData!$AV$38),"")</f>
        <v>8008.26</v>
      </c>
      <c r="AW38">
        <f ca="1">IFERROR(IF(0=LEN(ReferenceData!$AW$38),"",ReferenceData!$AW$38),"")</f>
        <v>6191.0420000000004</v>
      </c>
      <c r="AX38">
        <f ca="1">IFERROR(IF(0=LEN(ReferenceData!$AX$38),"",ReferenceData!$AX$38),"")</f>
        <v>4531.26</v>
      </c>
      <c r="AY38">
        <f ca="1">IFERROR(IF(0=LEN(ReferenceData!$AY$38),"",ReferenceData!$AY$38),"")</f>
        <v>4690.4309999999996</v>
      </c>
      <c r="AZ38">
        <f ca="1">IFERROR(IF(0=LEN(ReferenceData!$AZ$38),"",ReferenceData!$AZ$38),"")</f>
        <v>3083.337</v>
      </c>
      <c r="BA38">
        <f ca="1">IFERROR(IF(0=LEN(ReferenceData!$BA$38),"",ReferenceData!$BA$38),"")</f>
        <v>4398.9120000000003</v>
      </c>
      <c r="BB38">
        <f ca="1">IFERROR(IF(0=LEN(ReferenceData!$BB$38),"",ReferenceData!$BB$38),"")</f>
        <v>4737.643</v>
      </c>
      <c r="BC38">
        <f ca="1">IFERROR(IF(0=LEN(ReferenceData!$BC$38),"",ReferenceData!$BC$38),"")</f>
        <v>5181.9859999999999</v>
      </c>
      <c r="BD38">
        <f ca="1">IFERROR(IF(0=LEN(ReferenceData!$BD$38),"",ReferenceData!$BD$38),"")</f>
        <v>5532.018</v>
      </c>
      <c r="BE38">
        <f ca="1">IFERROR(IF(0=LEN(ReferenceData!$BE$38),"",ReferenceData!$BE$38),"")</f>
        <v>5836.0280000000002</v>
      </c>
      <c r="BF38">
        <f ca="1">IFERROR(IF(0=LEN(ReferenceData!$BF$38),"",ReferenceData!$BF$38),"")</f>
        <v>6226.5910000000003</v>
      </c>
      <c r="BG38">
        <f ca="1">IFERROR(IF(0=LEN(ReferenceData!$BG$38),"",ReferenceData!$BG$38),"")</f>
        <v>5633.51</v>
      </c>
      <c r="BH38">
        <f ca="1">IFERROR(IF(0=LEN(ReferenceData!$BH$38),"",ReferenceData!$BH$38),"")</f>
        <v>4888.0069999999996</v>
      </c>
      <c r="BI38">
        <f ca="1">IFERROR(IF(0=LEN(ReferenceData!$BI$38),"",ReferenceData!$BI$38),"")</f>
        <v>4853.067</v>
      </c>
      <c r="BJ38">
        <f ca="1">IFERROR(IF(0=LEN(ReferenceData!$BJ$38),"",ReferenceData!$BJ$38),"")</f>
        <v>5411.5690000000004</v>
      </c>
      <c r="BK38">
        <f ca="1">IFERROR(IF(0=LEN(ReferenceData!$BK$38),"",ReferenceData!$BK$38),"")</f>
        <v>5781.2139999999999</v>
      </c>
      <c r="BL38">
        <f ca="1">IFERROR(IF(0=LEN(ReferenceData!$BL$38),"",ReferenceData!$BL$38),"")</f>
        <v>6147.808</v>
      </c>
      <c r="BM38" t="str">
        <f ca="1">IFERROR(IF(0=LEN(ReferenceData!$BM$38),"",ReferenceData!$BM$38),"")</f>
        <v/>
      </c>
    </row>
    <row r="39" spans="1:65" x14ac:dyDescent="0.25">
      <c r="A39" t="str">
        <f>IFERROR(IF(0=LEN(ReferenceData!$A$39),"",ReferenceData!$A$39),"")</f>
        <v xml:space="preserve">                PNC Financial Services Group I</v>
      </c>
      <c r="B39" t="str">
        <f>IFERROR(IF(0=LEN(ReferenceData!$B$39),"",ReferenceData!$B$39),"")</f>
        <v>PNC US Equity</v>
      </c>
      <c r="C39" t="str">
        <f>IFERROR(IF(0=LEN(ReferenceData!$C$39),"",ReferenceData!$C$39),"")</f>
        <v>FC471</v>
      </c>
      <c r="D39" t="str">
        <f>IFERROR(IF(0=LEN(ReferenceData!$D$39),"",ReferenceData!$D$39),"")</f>
        <v>FDIC_SECS_AVAIL_FOR_SALE_MKT_VAL</v>
      </c>
      <c r="E39" t="str">
        <f>IFERROR(IF(0=LEN(ReferenceData!$E$39),"",ReferenceData!$E$39),"")</f>
        <v>Dynamic</v>
      </c>
      <c r="F39" t="str">
        <f ca="1">IFERROR(IF(0=LEN(ReferenceData!$F$39),"",ReferenceData!$F$39),"")</f>
        <v/>
      </c>
      <c r="G39">
        <f ca="1">IFERROR(IF(0=LEN(ReferenceData!$G$39),"",ReferenceData!$G$39),"")</f>
        <v>60338.084000000003</v>
      </c>
      <c r="H39">
        <f ca="1">IFERROR(IF(0=LEN(ReferenceData!$H$39),"",ReferenceData!$H$39),"")</f>
        <v>51188.114999999998</v>
      </c>
      <c r="I39">
        <f ca="1">IFERROR(IF(0=LEN(ReferenceData!$I$39),"",ReferenceData!$I$39),"")</f>
        <v>42280.438000000002</v>
      </c>
      <c r="J39">
        <f ca="1">IFERROR(IF(0=LEN(ReferenceData!$J$39),"",ReferenceData!$J$39),"")</f>
        <v>41784.665000000001</v>
      </c>
      <c r="K39">
        <f ca="1">IFERROR(IF(0=LEN(ReferenceData!$K$39),"",ReferenceData!$K$39),"")</f>
        <v>40589.587</v>
      </c>
      <c r="L39">
        <f ca="1">IFERROR(IF(0=LEN(ReferenceData!$L$39),"",ReferenceData!$L$39),"")</f>
        <v>41787.434000000001</v>
      </c>
      <c r="M39">
        <f ca="1">IFERROR(IF(0=LEN(ReferenceData!$M$39),"",ReferenceData!$M$39),"")</f>
        <v>43220.362000000001</v>
      </c>
      <c r="N39">
        <f ca="1">IFERROR(IF(0=LEN(ReferenceData!$N$39),"",ReferenceData!$N$39),"")</f>
        <v>44158.53</v>
      </c>
      <c r="O39">
        <f ca="1">IFERROR(IF(0=LEN(ReferenceData!$O$39),"",ReferenceData!$O$39),"")</f>
        <v>45798.491000000002</v>
      </c>
      <c r="P39">
        <f ca="1">IFERROR(IF(0=LEN(ReferenceData!$P$39),"",ReferenceData!$P$39),"")</f>
        <v>52983.625</v>
      </c>
      <c r="Q39">
        <f ca="1">IFERROR(IF(0=LEN(ReferenceData!$Q$39),"",ReferenceData!$Q$39),"")</f>
        <v>112313.33</v>
      </c>
      <c r="R39">
        <f ca="1">IFERROR(IF(0=LEN(ReferenceData!$R$39),"",ReferenceData!$R$39),"")</f>
        <v>131535.696</v>
      </c>
      <c r="S39">
        <f ca="1">IFERROR(IF(0=LEN(ReferenceData!$S$39),"",ReferenceData!$S$39),"")</f>
        <v>124126.67200000001</v>
      </c>
      <c r="T39">
        <f ca="1">IFERROR(IF(0=LEN(ReferenceData!$T$39),"",ReferenceData!$T$39),"")</f>
        <v>125057.928</v>
      </c>
      <c r="U39">
        <f ca="1">IFERROR(IF(0=LEN(ReferenceData!$U$39),"",ReferenceData!$U$39),"")</f>
        <v>96798.66</v>
      </c>
      <c r="V39">
        <f ca="1">IFERROR(IF(0=LEN(ReferenceData!$V$39),"",ReferenceData!$V$39),"")</f>
        <v>87357.81</v>
      </c>
      <c r="W39">
        <f ca="1">IFERROR(IF(0=LEN(ReferenceData!$W$39),"",ReferenceData!$W$39),"")</f>
        <v>89746.775999999998</v>
      </c>
      <c r="X39">
        <f ca="1">IFERROR(IF(0=LEN(ReferenceData!$X$39),"",ReferenceData!$X$39),"")</f>
        <v>97052.442999999999</v>
      </c>
      <c r="Y39">
        <f ca="1">IFERROR(IF(0=LEN(ReferenceData!$Y$39),"",ReferenceData!$Y$39),"")</f>
        <v>89077.625</v>
      </c>
      <c r="Z39">
        <f ca="1">IFERROR(IF(0=LEN(ReferenceData!$Z$39),"",ReferenceData!$Z$39),"")</f>
        <v>69163.373999999996</v>
      </c>
      <c r="AA39">
        <f ca="1">IFERROR(IF(0=LEN(ReferenceData!$AA$39),"",ReferenceData!$AA$39),"")</f>
        <v>69056.740999999995</v>
      </c>
      <c r="AB39">
        <f ca="1">IFERROR(IF(0=LEN(ReferenceData!$AB$39),"",ReferenceData!$AB$39),"")</f>
        <v>69354.885999999999</v>
      </c>
      <c r="AC39">
        <f ca="1">IFERROR(IF(0=LEN(ReferenceData!$AC$39),"",ReferenceData!$AC$39),"")</f>
        <v>65051.339</v>
      </c>
      <c r="AD39">
        <f ca="1">IFERROR(IF(0=LEN(ReferenceData!$AD$39),"",ReferenceData!$AD$39),"")</f>
        <v>63388.987000000001</v>
      </c>
      <c r="AE39">
        <f ca="1">IFERROR(IF(0=LEN(ReferenceData!$AE$39),"",ReferenceData!$AE$39),"")</f>
        <v>61210.692999999999</v>
      </c>
      <c r="AF39">
        <f ca="1">IFERROR(IF(0=LEN(ReferenceData!$AF$39),"",ReferenceData!$AF$39),"")</f>
        <v>60275.188999999998</v>
      </c>
      <c r="AG39">
        <f ca="1">IFERROR(IF(0=LEN(ReferenceData!$AG$39),"",ReferenceData!$AG$39),"")</f>
        <v>56017.978999999999</v>
      </c>
      <c r="AH39">
        <f ca="1">IFERROR(IF(0=LEN(ReferenceData!$AH$39),"",ReferenceData!$AH$39),"")</f>
        <v>57617.582000000002</v>
      </c>
      <c r="AI39">
        <f ca="1">IFERROR(IF(0=LEN(ReferenceData!$AI$39),"",ReferenceData!$AI$39),"")</f>
        <v>57253.997000000003</v>
      </c>
      <c r="AJ39">
        <f ca="1">IFERROR(IF(0=LEN(ReferenceData!$AJ$39),"",ReferenceData!$AJ$39),"")</f>
        <v>58878.266000000003</v>
      </c>
      <c r="AK39">
        <f ca="1">IFERROR(IF(0=LEN(ReferenceData!$AK$39),"",ReferenceData!$AK$39),"")</f>
        <v>59339.457000000002</v>
      </c>
      <c r="AL39">
        <f ca="1">IFERROR(IF(0=LEN(ReferenceData!$AL$39),"",ReferenceData!$AL$39),"")</f>
        <v>60104.421000000002</v>
      </c>
      <c r="AM39">
        <f ca="1">IFERROR(IF(0=LEN(ReferenceData!$AM$39),"",ReferenceData!$AM$39),"")</f>
        <v>61940.88</v>
      </c>
      <c r="AN39">
        <f ca="1">IFERROR(IF(0=LEN(ReferenceData!$AN$39),"",ReferenceData!$AN$39),"")</f>
        <v>56883.608999999997</v>
      </c>
      <c r="AO39">
        <f ca="1">IFERROR(IF(0=LEN(ReferenceData!$AO$39),"",ReferenceData!$AO$39),"")</f>
        <v>57414.993999999999</v>
      </c>
      <c r="AP39">
        <f ca="1">IFERROR(IF(0=LEN(ReferenceData!$AP$39),"",ReferenceData!$AP$39),"")</f>
        <v>55759.184999999998</v>
      </c>
      <c r="AQ39">
        <f ca="1">IFERROR(IF(0=LEN(ReferenceData!$AQ$39),"",ReferenceData!$AQ$39),"")</f>
        <v>53662.847999999998</v>
      </c>
      <c r="AR39">
        <f ca="1">IFERROR(IF(0=LEN(ReferenceData!$AR$39),"",ReferenceData!$AR$39),"")</f>
        <v>47679.004000000001</v>
      </c>
      <c r="AS39">
        <f ca="1">IFERROR(IF(0=LEN(ReferenceData!$AS$39),"",ReferenceData!$AS$39),"")</f>
        <v>47579.476999999999</v>
      </c>
      <c r="AT39">
        <f ca="1">IFERROR(IF(0=LEN(ReferenceData!$AT$39),"",ReferenceData!$AT$39),"")</f>
        <v>44234.612000000001</v>
      </c>
      <c r="AU39">
        <f ca="1">IFERROR(IF(0=LEN(ReferenceData!$AU$39),"",ReferenceData!$AU$39),"")</f>
        <v>43620.059000000001</v>
      </c>
      <c r="AV39">
        <f ca="1">IFERROR(IF(0=LEN(ReferenceData!$AV$39),"",ReferenceData!$AV$39),"")</f>
        <v>44518.631999999998</v>
      </c>
      <c r="AW39">
        <f ca="1">IFERROR(IF(0=LEN(ReferenceData!$AW$39),"",ReferenceData!$AW$39),"")</f>
        <v>47483.173000000003</v>
      </c>
      <c r="AX39">
        <f ca="1">IFERROR(IF(0=LEN(ReferenceData!$AX$39),"",ReferenceData!$AX$39),"")</f>
        <v>48607.728999999999</v>
      </c>
      <c r="AY39">
        <f ca="1">IFERROR(IF(0=LEN(ReferenceData!$AY$39),"",ReferenceData!$AY$39),"")</f>
        <v>45761.396000000001</v>
      </c>
      <c r="AZ39">
        <f ca="1">IFERROR(IF(0=LEN(ReferenceData!$AZ$39),"",ReferenceData!$AZ$39),"")</f>
        <v>47898.913</v>
      </c>
      <c r="BA39">
        <f ca="1">IFERROR(IF(0=LEN(ReferenceData!$BA$39),"",ReferenceData!$BA$39),"")</f>
        <v>49536.305999999997</v>
      </c>
      <c r="BB39">
        <f ca="1">IFERROR(IF(0=LEN(ReferenceData!$BB$39),"",ReferenceData!$BB$39),"")</f>
        <v>51052.209000000003</v>
      </c>
      <c r="BC39">
        <f ca="1">IFERROR(IF(0=LEN(ReferenceData!$BC$39),"",ReferenceData!$BC$39),"")</f>
        <v>52132.463000000003</v>
      </c>
      <c r="BD39">
        <f ca="1">IFERROR(IF(0=LEN(ReferenceData!$BD$39),"",ReferenceData!$BD$39),"")</f>
        <v>51251.514999999999</v>
      </c>
      <c r="BE39">
        <f ca="1">IFERROR(IF(0=LEN(ReferenceData!$BE$39),"",ReferenceData!$BE$39),"")</f>
        <v>53357.637000000002</v>
      </c>
      <c r="BF39">
        <f ca="1">IFERROR(IF(0=LEN(ReferenceData!$BF$39),"",ReferenceData!$BF$39),"")</f>
        <v>48568.536</v>
      </c>
      <c r="BG39">
        <f ca="1">IFERROR(IF(0=LEN(ReferenceData!$BG$39),"",ReferenceData!$BG$39),"")</f>
        <v>49715.021999999997</v>
      </c>
      <c r="BH39">
        <f ca="1">IFERROR(IF(0=LEN(ReferenceData!$BH$39),"",ReferenceData!$BH$39),"")</f>
        <v>49667.368000000002</v>
      </c>
      <c r="BI39">
        <f ca="1">IFERROR(IF(0=LEN(ReferenceData!$BI$39),"",ReferenceData!$BI$39),"")</f>
        <v>54526.400000000001</v>
      </c>
      <c r="BJ39">
        <f ca="1">IFERROR(IF(0=LEN(ReferenceData!$BJ$39),"",ReferenceData!$BJ$39),"")</f>
        <v>57310.457000000002</v>
      </c>
      <c r="BK39">
        <f ca="1">IFERROR(IF(0=LEN(ReferenceData!$BK$39),"",ReferenceData!$BK$39),"")</f>
        <v>56049.714999999997</v>
      </c>
      <c r="BL39">
        <f ca="1">IFERROR(IF(0=LEN(ReferenceData!$BL$39),"",ReferenceData!$BL$39),"")</f>
        <v>45849.724999999999</v>
      </c>
      <c r="BM39">
        <f ca="1">IFERROR(IF(0=LEN(ReferenceData!$BM$39),"",ReferenceData!$BM$39),"")</f>
        <v>49541.571000000004</v>
      </c>
    </row>
    <row r="40" spans="1:65" x14ac:dyDescent="0.25">
      <c r="A40" t="str">
        <f>IFERROR(IF(0=LEN(ReferenceData!$A$40),"",ReferenceData!$A$40),"")</f>
        <v xml:space="preserve">                Regions Financial Corp</v>
      </c>
      <c r="B40" t="str">
        <f>IFERROR(IF(0=LEN(ReferenceData!$B$40),"",ReferenceData!$B$40),"")</f>
        <v>RF US Equity</v>
      </c>
      <c r="C40" t="str">
        <f>IFERROR(IF(0=LEN(ReferenceData!$C$40),"",ReferenceData!$C$40),"")</f>
        <v>FC471</v>
      </c>
      <c r="D40" t="str">
        <f>IFERROR(IF(0=LEN(ReferenceData!$D$40),"",ReferenceData!$D$40),"")</f>
        <v>FDIC_SECS_AVAIL_FOR_SALE_MKT_VAL</v>
      </c>
      <c r="E40" t="str">
        <f>IFERROR(IF(0=LEN(ReferenceData!$E$40),"",ReferenceData!$E$40),"")</f>
        <v>Dynamic</v>
      </c>
      <c r="F40" t="str">
        <f ca="1">IFERROR(IF(0=LEN(ReferenceData!$F$40),"",ReferenceData!$F$40),"")</f>
        <v/>
      </c>
      <c r="G40">
        <f ca="1">IFERROR(IF(0=LEN(ReferenceData!$G$40),"",ReferenceData!$G$40),"")</f>
        <v>28698</v>
      </c>
      <c r="H40">
        <f ca="1">IFERROR(IF(0=LEN(ReferenceData!$H$40),"",ReferenceData!$H$40),"")</f>
        <v>28537</v>
      </c>
      <c r="I40">
        <f ca="1">IFERROR(IF(0=LEN(ReferenceData!$I$40),"",ReferenceData!$I$40),"")</f>
        <v>27881</v>
      </c>
      <c r="J40">
        <f ca="1">IFERROR(IF(0=LEN(ReferenceData!$J$40),"",ReferenceData!$J$40),"")</f>
        <v>28104</v>
      </c>
      <c r="K40">
        <f ca="1">IFERROR(IF(0=LEN(ReferenceData!$K$40),"",ReferenceData!$K$40),"")</f>
        <v>26228</v>
      </c>
      <c r="L40">
        <f ca="1">IFERROR(IF(0=LEN(ReferenceData!$L$40),"",ReferenceData!$L$40),"")</f>
        <v>27296</v>
      </c>
      <c r="M40">
        <f ca="1">IFERROR(IF(0=LEN(ReferenceData!$M$40),"",ReferenceData!$M$40),"")</f>
        <v>28230</v>
      </c>
      <c r="N40">
        <f ca="1">IFERROR(IF(0=LEN(ReferenceData!$N$40),"",ReferenceData!$N$40),"")</f>
        <v>27933</v>
      </c>
      <c r="O40">
        <f ca="1">IFERROR(IF(0=LEN(ReferenceData!$O$40),"",ReferenceData!$O$40),"")</f>
        <v>28126</v>
      </c>
      <c r="P40">
        <f ca="1">IFERROR(IF(0=LEN(ReferenceData!$P$40),"",ReferenceData!$P$40),"")</f>
        <v>29052</v>
      </c>
      <c r="Q40">
        <f ca="1">IFERROR(IF(0=LEN(ReferenceData!$Q$40),"",ReferenceData!$Q$40),"")</f>
        <v>29384</v>
      </c>
      <c r="R40">
        <f ca="1">IFERROR(IF(0=LEN(ReferenceData!$R$40),"",ReferenceData!$R$40),"")</f>
        <v>28481</v>
      </c>
      <c r="S40">
        <f ca="1">IFERROR(IF(0=LEN(ReferenceData!$S$40),"",ReferenceData!$S$40),"")</f>
        <v>28986</v>
      </c>
      <c r="T40">
        <f ca="1">IFERROR(IF(0=LEN(ReferenceData!$T$40),"",ReferenceData!$T$40),"")</f>
        <v>29290</v>
      </c>
      <c r="U40">
        <f ca="1">IFERROR(IF(0=LEN(ReferenceData!$U$40),"",ReferenceData!$U$40),"")</f>
        <v>27091</v>
      </c>
      <c r="V40">
        <f ca="1">IFERROR(IF(0=LEN(ReferenceData!$V$40),"",ReferenceData!$V$40),"")</f>
        <v>27154</v>
      </c>
      <c r="W40">
        <f ca="1">IFERROR(IF(0=LEN(ReferenceData!$W$40),"",ReferenceData!$W$40),"")</f>
        <v>27007</v>
      </c>
      <c r="X40">
        <f ca="1">IFERROR(IF(0=LEN(ReferenceData!$X$40),"",ReferenceData!$X$40),"")</f>
        <v>23898</v>
      </c>
      <c r="Y40">
        <f ca="1">IFERROR(IF(0=LEN(ReferenceData!$Y$40),"",ReferenceData!$Y$40),"")</f>
        <v>23775</v>
      </c>
      <c r="Z40">
        <f ca="1">IFERROR(IF(0=LEN(ReferenceData!$Z$40),"",ReferenceData!$Z$40),"")</f>
        <v>22606</v>
      </c>
      <c r="AA40">
        <f ca="1">IFERROR(IF(0=LEN(ReferenceData!$AA$40),"",ReferenceData!$AA$40),"")</f>
        <v>22986</v>
      </c>
      <c r="AB40">
        <f ca="1">IFERROR(IF(0=LEN(ReferenceData!$AB$40),"",ReferenceData!$AB$40),"")</f>
        <v>22699</v>
      </c>
      <c r="AC40">
        <f ca="1">IFERROR(IF(0=LEN(ReferenceData!$AC$40),"",ReferenceData!$AC$40),"")</f>
        <v>23786</v>
      </c>
      <c r="AD40">
        <f ca="1">IFERROR(IF(0=LEN(ReferenceData!$AD$40),"",ReferenceData!$AD$40),"")</f>
        <v>22729.215</v>
      </c>
      <c r="AE40">
        <f ca="1">IFERROR(IF(0=LEN(ReferenceData!$AE$40),"",ReferenceData!$AE$40),"")</f>
        <v>22670.541000000001</v>
      </c>
      <c r="AF40">
        <f ca="1">IFERROR(IF(0=LEN(ReferenceData!$AF$40),"",ReferenceData!$AF$40),"")</f>
        <v>22934.581999999999</v>
      </c>
      <c r="AG40">
        <f ca="1">IFERROR(IF(0=LEN(ReferenceData!$AG$40),"",ReferenceData!$AG$40),"")</f>
        <v>23084.874</v>
      </c>
      <c r="AH40">
        <f ca="1">IFERROR(IF(0=LEN(ReferenceData!$AH$40),"",ReferenceData!$AH$40),"")</f>
        <v>23628.285</v>
      </c>
      <c r="AI40">
        <f ca="1">IFERROR(IF(0=LEN(ReferenceData!$AI$40),"",ReferenceData!$AI$40),"")</f>
        <v>23659.108</v>
      </c>
      <c r="AJ40">
        <f ca="1">IFERROR(IF(0=LEN(ReferenceData!$AJ$40),"",ReferenceData!$AJ$40),"")</f>
        <v>23607.451000000001</v>
      </c>
      <c r="AK40">
        <f ca="1">IFERROR(IF(0=LEN(ReferenceData!$AK$40),"",ReferenceData!$AK$40),"")</f>
        <v>23520.601999999999</v>
      </c>
      <c r="AL40">
        <f ca="1">IFERROR(IF(0=LEN(ReferenceData!$AL$40),"",ReferenceData!$AL$40),"")</f>
        <v>23781.337</v>
      </c>
      <c r="AM40">
        <f ca="1">IFERROR(IF(0=LEN(ReferenceData!$AM$40),"",ReferenceData!$AM$40),"")</f>
        <v>23859.106</v>
      </c>
      <c r="AN40">
        <f ca="1">IFERROR(IF(0=LEN(ReferenceData!$AN$40),"",ReferenceData!$AN$40),"")</f>
        <v>23493.512999999999</v>
      </c>
      <c r="AO40">
        <f ca="1">IFERROR(IF(0=LEN(ReferenceData!$AO$40),"",ReferenceData!$AO$40),"")</f>
        <v>23095.207999999999</v>
      </c>
      <c r="AP40">
        <f ca="1">IFERROR(IF(0=LEN(ReferenceData!$AP$40),"",ReferenceData!$AP$40),"")</f>
        <v>22710.133999999998</v>
      </c>
      <c r="AQ40">
        <f ca="1">IFERROR(IF(0=LEN(ReferenceData!$AQ$40),"",ReferenceData!$AQ$40),"")</f>
        <v>22033.95</v>
      </c>
      <c r="AR40">
        <f ca="1">IFERROR(IF(0=LEN(ReferenceData!$AR$40),"",ReferenceData!$AR$40),"")</f>
        <v>22044.690999999999</v>
      </c>
      <c r="AS40">
        <f ca="1">IFERROR(IF(0=LEN(ReferenceData!$AS$40),"",ReferenceData!$AS$40),"")</f>
        <v>22375.046999999999</v>
      </c>
      <c r="AT40">
        <f ca="1">IFERROR(IF(0=LEN(ReferenceData!$AT$40),"",ReferenceData!$AT$40),"")</f>
        <v>22052.867999999999</v>
      </c>
      <c r="AU40">
        <f ca="1">IFERROR(IF(0=LEN(ReferenceData!$AU$40),"",ReferenceData!$AU$40),"")</f>
        <v>21884.884999999998</v>
      </c>
      <c r="AV40">
        <f ca="1">IFERROR(IF(0=LEN(ReferenceData!$AV$40),"",ReferenceData!$AV$40),"")</f>
        <v>21469.496999999999</v>
      </c>
      <c r="AW40">
        <f ca="1">IFERROR(IF(0=LEN(ReferenceData!$AW$40),"",ReferenceData!$AW$40),"")</f>
        <v>21108.322</v>
      </c>
      <c r="AX40">
        <f ca="1">IFERROR(IF(0=LEN(ReferenceData!$AX$40),"",ReferenceData!$AX$40),"")</f>
        <v>20946.531999999999</v>
      </c>
      <c r="AY40">
        <f ca="1">IFERROR(IF(0=LEN(ReferenceData!$AY$40),"",ReferenceData!$AY$40),"")</f>
        <v>21067.975999999999</v>
      </c>
      <c r="AZ40">
        <f ca="1">IFERROR(IF(0=LEN(ReferenceData!$AZ$40),"",ReferenceData!$AZ$40),"")</f>
        <v>21393.337</v>
      </c>
      <c r="BA40">
        <f ca="1">IFERROR(IF(0=LEN(ReferenceData!$BA$40),"",ReferenceData!$BA$40),"")</f>
        <v>26537.906999999999</v>
      </c>
      <c r="BB40">
        <f ca="1">IFERROR(IF(0=LEN(ReferenceData!$BB$40),"",ReferenceData!$BB$40),"")</f>
        <v>26686.77</v>
      </c>
      <c r="BC40">
        <f ca="1">IFERROR(IF(0=LEN(ReferenceData!$BC$40),"",ReferenceData!$BC$40),"")</f>
        <v>27022.956999999999</v>
      </c>
      <c r="BD40">
        <f ca="1">IFERROR(IF(0=LEN(ReferenceData!$BD$40),"",ReferenceData!$BD$40),"")</f>
        <v>26617.105</v>
      </c>
      <c r="BE40">
        <f ca="1">IFERROR(IF(0=LEN(ReferenceData!$BE$40),"",ReferenceData!$BE$40),"")</f>
        <v>26475.855</v>
      </c>
      <c r="BF40">
        <f ca="1">IFERROR(IF(0=LEN(ReferenceData!$BF$40),"",ReferenceData!$BF$40),"")</f>
        <v>23770.087</v>
      </c>
      <c r="BG40">
        <f ca="1">IFERROR(IF(0=LEN(ReferenceData!$BG$40),"",ReferenceData!$BG$40),"")</f>
        <v>23892.232</v>
      </c>
      <c r="BH40">
        <f ca="1">IFERROR(IF(0=LEN(ReferenceData!$BH$40),"",ReferenceData!$BH$40),"")</f>
        <v>23027.571</v>
      </c>
      <c r="BI40">
        <f ca="1">IFERROR(IF(0=LEN(ReferenceData!$BI$40),"",ReferenceData!$BI$40),"")</f>
        <v>23812.307000000001</v>
      </c>
      <c r="BJ40">
        <f ca="1">IFERROR(IF(0=LEN(ReferenceData!$BJ$40),"",ReferenceData!$BJ$40),"")</f>
        <v>22398.448</v>
      </c>
      <c r="BK40">
        <f ca="1">IFERROR(IF(0=LEN(ReferenceData!$BK$40),"",ReferenceData!$BK$40),"")</f>
        <v>22641.306</v>
      </c>
      <c r="BL40">
        <f ca="1">IFERROR(IF(0=LEN(ReferenceData!$BL$40),"",ReferenceData!$BL$40),"")</f>
        <v>23216.971000000001</v>
      </c>
      <c r="BM40">
        <f ca="1">IFERROR(IF(0=LEN(ReferenceData!$BM$40),"",ReferenceData!$BM$40),"")</f>
        <v>23254.156999999999</v>
      </c>
    </row>
    <row r="41" spans="1:65" x14ac:dyDescent="0.25">
      <c r="A41" t="str">
        <f>IFERROR(IF(0=LEN(ReferenceData!$A$41),"",ReferenceData!$A$41),"")</f>
        <v xml:space="preserve">                Truist Financial Corp</v>
      </c>
      <c r="B41" t="str">
        <f>IFERROR(IF(0=LEN(ReferenceData!$B$41),"",ReferenceData!$B$41),"")</f>
        <v>TFC US Equity</v>
      </c>
      <c r="C41" t="str">
        <f>IFERROR(IF(0=LEN(ReferenceData!$C$41),"",ReferenceData!$C$41),"")</f>
        <v>FC471</v>
      </c>
      <c r="D41" t="str">
        <f>IFERROR(IF(0=LEN(ReferenceData!$D$41),"",ReferenceData!$D$41),"")</f>
        <v>FDIC_SECS_AVAIL_FOR_SALE_MKT_VAL</v>
      </c>
      <c r="E41" t="str">
        <f>IFERROR(IF(0=LEN(ReferenceData!$E$41),"",ReferenceData!$E$41),"")</f>
        <v>Dynamic</v>
      </c>
      <c r="F41">
        <f ca="1">IFERROR(IF(0=LEN(ReferenceData!$F$41),"",ReferenceData!$F$41),"")</f>
        <v>67464</v>
      </c>
      <c r="G41">
        <f ca="1">IFERROR(IF(0=LEN(ReferenceData!$G$41),"",ReferenceData!$G$41),"")</f>
        <v>64111</v>
      </c>
      <c r="H41">
        <f ca="1">IFERROR(IF(0=LEN(ReferenceData!$H$41),"",ReferenceData!$H$41),"")</f>
        <v>55969</v>
      </c>
      <c r="I41">
        <f ca="1">IFERROR(IF(0=LEN(ReferenceData!$I$41),"",ReferenceData!$I$41),"")</f>
        <v>66050</v>
      </c>
      <c r="J41">
        <f ca="1">IFERROR(IF(0=LEN(ReferenceData!$J$41),"",ReferenceData!$J$41),"")</f>
        <v>67366</v>
      </c>
      <c r="K41">
        <f ca="1">IFERROR(IF(0=LEN(ReferenceData!$K$41),"",ReferenceData!$K$41),"")</f>
        <v>65117</v>
      </c>
      <c r="L41">
        <f ca="1">IFERROR(IF(0=LEN(ReferenceData!$L$41),"",ReferenceData!$L$41),"")</f>
        <v>68965</v>
      </c>
      <c r="M41">
        <f ca="1">IFERROR(IF(0=LEN(ReferenceData!$M$41),"",ReferenceData!$M$41),"")</f>
        <v>71858</v>
      </c>
      <c r="N41">
        <f ca="1">IFERROR(IF(0=LEN(ReferenceData!$N$41),"",ReferenceData!$N$41),"")</f>
        <v>71801</v>
      </c>
      <c r="O41">
        <f ca="1">IFERROR(IF(0=LEN(ReferenceData!$O$41),"",ReferenceData!$O$41),"")</f>
        <v>72978</v>
      </c>
      <c r="P41">
        <f ca="1">IFERROR(IF(0=LEN(ReferenceData!$P$41),"",ReferenceData!$P$41),"")</f>
        <v>79278</v>
      </c>
      <c r="Q41">
        <f ca="1">IFERROR(IF(0=LEN(ReferenceData!$Q$41),"",ReferenceData!$Q$41),"")</f>
        <v>84753</v>
      </c>
      <c r="R41">
        <f ca="1">IFERROR(IF(0=LEN(ReferenceData!$R$41),"",ReferenceData!$R$41),"")</f>
        <v>153123</v>
      </c>
      <c r="S41">
        <f ca="1">IFERROR(IF(0=LEN(ReferenceData!$S$41),"",ReferenceData!$S$41),"")</f>
        <v>151038</v>
      </c>
      <c r="T41">
        <f ca="1">IFERROR(IF(0=LEN(ReferenceData!$T$41),"",ReferenceData!$T$41),"")</f>
        <v>139879</v>
      </c>
      <c r="U41">
        <f ca="1">IFERROR(IF(0=LEN(ReferenceData!$U$41),"",ReferenceData!$U$41),"")</f>
        <v>123807</v>
      </c>
      <c r="V41">
        <f ca="1">IFERROR(IF(0=LEN(ReferenceData!$V$41),"",ReferenceData!$V$41),"")</f>
        <v>120788</v>
      </c>
      <c r="W41">
        <f ca="1">IFERROR(IF(0=LEN(ReferenceData!$W$41),"",ReferenceData!$W$41),"")</f>
        <v>86132</v>
      </c>
      <c r="X41">
        <f ca="1">IFERROR(IF(0=LEN(ReferenceData!$X$41),"",ReferenceData!$X$41),"")</f>
        <v>77805</v>
      </c>
      <c r="Y41">
        <f ca="1">IFERROR(IF(0=LEN(ReferenceData!$Y$41),"",ReferenceData!$Y$41),"")</f>
        <v>78398</v>
      </c>
      <c r="Z41">
        <f ca="1">IFERROR(IF(0=LEN(ReferenceData!$Z$41),"",ReferenceData!$Z$41),"")</f>
        <v>74727</v>
      </c>
      <c r="AA41">
        <f ca="1">IFERROR(IF(0=LEN(ReferenceData!$AA$41),"",ReferenceData!$AA$41),"")</f>
        <v>35997</v>
      </c>
      <c r="AB41">
        <f ca="1">IFERROR(IF(0=LEN(ReferenceData!$AB$41),"",ReferenceData!$AB$41),"")</f>
        <v>25802</v>
      </c>
      <c r="AC41">
        <f ca="1">IFERROR(IF(0=LEN(ReferenceData!$AC$41),"",ReferenceData!$AC$41),"")</f>
        <v>26315</v>
      </c>
      <c r="AD41">
        <f ca="1">IFERROR(IF(0=LEN(ReferenceData!$AD$41),"",ReferenceData!$AD$41),"")</f>
        <v>25038</v>
      </c>
      <c r="AE41">
        <f ca="1">IFERROR(IF(0=LEN(ReferenceData!$AE$41),"",ReferenceData!$AE$41),"")</f>
        <v>24286</v>
      </c>
      <c r="AF41">
        <f ca="1">IFERROR(IF(0=LEN(ReferenceData!$AF$41),"",ReferenceData!$AF$41),"")</f>
        <v>23919</v>
      </c>
      <c r="AG41">
        <f ca="1">IFERROR(IF(0=LEN(ReferenceData!$AG$41),"",ReferenceData!$AG$41),"")</f>
        <v>25017</v>
      </c>
      <c r="AH41">
        <f ca="1">IFERROR(IF(0=LEN(ReferenceData!$AH$41),"",ReferenceData!$AH$41),"")</f>
        <v>24547</v>
      </c>
      <c r="AI41">
        <f ca="1">IFERROR(IF(0=LEN(ReferenceData!$AI$41),"",ReferenceData!$AI$41),"")</f>
        <v>23184</v>
      </c>
      <c r="AJ41">
        <f ca="1">IFERROR(IF(0=LEN(ReferenceData!$AJ$41),"",ReferenceData!$AJ$41),"")</f>
        <v>26899</v>
      </c>
      <c r="AK41">
        <f ca="1">IFERROR(IF(0=LEN(ReferenceData!$AK$41),"",ReferenceData!$AK$41),"")</f>
        <v>26667.681</v>
      </c>
      <c r="AL41">
        <f ca="1">IFERROR(IF(0=LEN(ReferenceData!$AL$41),"",ReferenceData!$AL$41),"")</f>
        <v>26925.701000000001</v>
      </c>
      <c r="AM41">
        <f ca="1">IFERROR(IF(0=LEN(ReferenceData!$AM$41),"",ReferenceData!$AM$41),"")</f>
        <v>29448.832999999999</v>
      </c>
      <c r="AN41">
        <f ca="1">IFERROR(IF(0=LEN(ReferenceData!$AN$41),"",ReferenceData!$AN$41),"")</f>
        <v>28243.617999999999</v>
      </c>
      <c r="AO41">
        <f ca="1">IFERROR(IF(0=LEN(ReferenceData!$AO$41),"",ReferenceData!$AO$41),"")</f>
        <v>27129.023000000001</v>
      </c>
      <c r="AP41">
        <f ca="1">IFERROR(IF(0=LEN(ReferenceData!$AP$41),"",ReferenceData!$AP$41),"")</f>
        <v>25297.185000000001</v>
      </c>
      <c r="AQ41">
        <f ca="1">IFERROR(IF(0=LEN(ReferenceData!$AQ$41),"",ReferenceData!$AQ$41),"")</f>
        <v>24249.216</v>
      </c>
      <c r="AR41">
        <f ca="1">IFERROR(IF(0=LEN(ReferenceData!$AR$41),"",ReferenceData!$AR$41),"")</f>
        <v>21183.437999999998</v>
      </c>
      <c r="AS41">
        <f ca="1">IFERROR(IF(0=LEN(ReferenceData!$AS$41),"",ReferenceData!$AS$41),"")</f>
        <v>21674.491999999998</v>
      </c>
      <c r="AT41">
        <f ca="1">IFERROR(IF(0=LEN(ReferenceData!$AT$41),"",ReferenceData!$AT$41),"")</f>
        <v>20907.064999999999</v>
      </c>
      <c r="AU41">
        <f ca="1">IFERROR(IF(0=LEN(ReferenceData!$AU$41),"",ReferenceData!$AU$41),"")</f>
        <v>21174.350999999999</v>
      </c>
      <c r="AV41">
        <f ca="1">IFERROR(IF(0=LEN(ReferenceData!$AV$41),"",ReferenceData!$AV$41),"")</f>
        <v>20936.341</v>
      </c>
      <c r="AW41">
        <f ca="1">IFERROR(IF(0=LEN(ReferenceData!$AW$41),"",ReferenceData!$AW$41),"")</f>
        <v>20496.466</v>
      </c>
      <c r="AX41">
        <f ca="1">IFERROR(IF(0=LEN(ReferenceData!$AX$41),"",ReferenceData!$AX$41),"")</f>
        <v>22104.164000000001</v>
      </c>
      <c r="AY41">
        <f ca="1">IFERROR(IF(0=LEN(ReferenceData!$AY$41),"",ReferenceData!$AY$41),"")</f>
        <v>22864.437999999998</v>
      </c>
      <c r="AZ41">
        <f ca="1">IFERROR(IF(0=LEN(ReferenceData!$AZ$41),"",ReferenceData!$AZ$41),"")</f>
        <v>24477.002</v>
      </c>
      <c r="BA41">
        <f ca="1">IFERROR(IF(0=LEN(ReferenceData!$BA$41),"",ReferenceData!$BA$41),"")</f>
        <v>24169.901000000002</v>
      </c>
      <c r="BB41">
        <f ca="1">IFERROR(IF(0=LEN(ReferenceData!$BB$41),"",ReferenceData!$BB$41),"")</f>
        <v>25137.420999999998</v>
      </c>
      <c r="BC41">
        <f ca="1">IFERROR(IF(0=LEN(ReferenceData!$BC$41),"",ReferenceData!$BC$41),"")</f>
        <v>24098.17</v>
      </c>
      <c r="BD41">
        <f ca="1">IFERROR(IF(0=LEN(ReferenceData!$BD$41),"",ReferenceData!$BD$41),"")</f>
        <v>25066.716</v>
      </c>
      <c r="BE41">
        <f ca="1">IFERROR(IF(0=LEN(ReferenceData!$BE$41),"",ReferenceData!$BE$41),"")</f>
        <v>24380.262999999999</v>
      </c>
      <c r="BF41">
        <f ca="1">IFERROR(IF(0=LEN(ReferenceData!$BF$41),"",ReferenceData!$BF$41),"")</f>
        <v>22313.653999999999</v>
      </c>
      <c r="BG41">
        <f ca="1">IFERROR(IF(0=LEN(ReferenceData!$BG$41),"",ReferenceData!$BG$41),"")</f>
        <v>24649.133000000002</v>
      </c>
      <c r="BH41">
        <f ca="1">IFERROR(IF(0=LEN(ReferenceData!$BH$41),"",ReferenceData!$BH$41),"")</f>
        <v>19408.678</v>
      </c>
      <c r="BI41">
        <f ca="1">IFERROR(IF(0=LEN(ReferenceData!$BI$41),"",ReferenceData!$BI$41),"")</f>
        <v>17886.592000000001</v>
      </c>
      <c r="BJ41">
        <f ca="1">IFERROR(IF(0=LEN(ReferenceData!$BJ$41),"",ReferenceData!$BJ$41),"")</f>
        <v>23169.776999999998</v>
      </c>
      <c r="BK41">
        <f ca="1">IFERROR(IF(0=LEN(ReferenceData!$BK$41),"",ReferenceData!$BK$41),"")</f>
        <v>24496.758999999998</v>
      </c>
      <c r="BL41">
        <f ca="1">IFERROR(IF(0=LEN(ReferenceData!$BL$41),"",ReferenceData!$BL$41),"")</f>
        <v>23661.855</v>
      </c>
      <c r="BM41" t="str">
        <f ca="1">IFERROR(IF(0=LEN(ReferenceData!$BM$41),"",ReferenceData!$BM$41),"")</f>
        <v/>
      </c>
    </row>
    <row r="42" spans="1:65" x14ac:dyDescent="0.25">
      <c r="A42" t="str">
        <f>IFERROR(IF(0=LEN(ReferenceData!$A$42),"",ReferenceData!$A$42),"")</f>
        <v xml:space="preserve">                US Bancorp</v>
      </c>
      <c r="B42" t="str">
        <f>IFERROR(IF(0=LEN(ReferenceData!$B$42),"",ReferenceData!$B$42),"")</f>
        <v>USB US Equity</v>
      </c>
      <c r="C42" t="str">
        <f>IFERROR(IF(0=LEN(ReferenceData!$C$42),"",ReferenceData!$C$42),"")</f>
        <v>FC471</v>
      </c>
      <c r="D42" t="str">
        <f>IFERROR(IF(0=LEN(ReferenceData!$D$42),"",ReferenceData!$D$42),"")</f>
        <v>FDIC_SECS_AVAIL_FOR_SALE_MKT_VAL</v>
      </c>
      <c r="E42" t="str">
        <f>IFERROR(IF(0=LEN(ReferenceData!$E$42),"",ReferenceData!$E$42),"")</f>
        <v>Dynamic</v>
      </c>
      <c r="F42">
        <f ca="1">IFERROR(IF(0=LEN(ReferenceData!$F$42),"",ReferenceData!$F$42),"")</f>
        <v>85992</v>
      </c>
      <c r="G42">
        <f ca="1">IFERROR(IF(0=LEN(ReferenceData!$G$42),"",ReferenceData!$G$42),"")</f>
        <v>81704</v>
      </c>
      <c r="H42">
        <f ca="1">IFERROR(IF(0=LEN(ReferenceData!$H$42),"",ReferenceData!$H$42),"")</f>
        <v>79799</v>
      </c>
      <c r="I42">
        <f ca="1">IFERROR(IF(0=LEN(ReferenceData!$I$42),"",ReferenceData!$I$42),"")</f>
        <v>72426</v>
      </c>
      <c r="J42">
        <f ca="1">IFERROR(IF(0=LEN(ReferenceData!$J$42),"",ReferenceData!$J$42),"")</f>
        <v>69706</v>
      </c>
      <c r="K42">
        <f ca="1">IFERROR(IF(0=LEN(ReferenceData!$K$42),"",ReferenceData!$K$42),"")</f>
        <v>67207</v>
      </c>
      <c r="L42">
        <f ca="1">IFERROR(IF(0=LEN(ReferenceData!$L$42),"",ReferenceData!$L$42),"")</f>
        <v>69221</v>
      </c>
      <c r="M42">
        <f ca="1">IFERROR(IF(0=LEN(ReferenceData!$M$42),"",ReferenceData!$M$42),"")</f>
        <v>65491</v>
      </c>
      <c r="N42">
        <f ca="1">IFERROR(IF(0=LEN(ReferenceData!$N$42),"",ReferenceData!$N$42),"")</f>
        <v>72910</v>
      </c>
      <c r="O42">
        <f ca="1">IFERROR(IF(0=LEN(ReferenceData!$O$42),"",ReferenceData!$O$42),"")</f>
        <v>68523</v>
      </c>
      <c r="P42">
        <f ca="1">IFERROR(IF(0=LEN(ReferenceData!$P$42),"",ReferenceData!$P$42),"")</f>
        <v>98806</v>
      </c>
      <c r="Q42">
        <f ca="1">IFERROR(IF(0=LEN(ReferenceData!$Q$42),"",ReferenceData!$Q$42),"")</f>
        <v>123593</v>
      </c>
      <c r="R42">
        <f ca="1">IFERROR(IF(0=LEN(ReferenceData!$R$42),"",ReferenceData!$R$42),"")</f>
        <v>132963</v>
      </c>
      <c r="S42">
        <f ca="1">IFERROR(IF(0=LEN(ReferenceData!$S$42),"",ReferenceData!$S$42),"")</f>
        <v>149376</v>
      </c>
      <c r="T42">
        <f ca="1">IFERROR(IF(0=LEN(ReferenceData!$T$42),"",ReferenceData!$T$42),"")</f>
        <v>160288</v>
      </c>
      <c r="U42">
        <f ca="1">IFERROR(IF(0=LEN(ReferenceData!$U$42),"",ReferenceData!$U$42),"")</f>
        <v>156003</v>
      </c>
      <c r="V42">
        <f ca="1">IFERROR(IF(0=LEN(ReferenceData!$V$42),"",ReferenceData!$V$42),"")</f>
        <v>136840</v>
      </c>
      <c r="W42">
        <f ca="1">IFERROR(IF(0=LEN(ReferenceData!$W$42),"",ReferenceData!$W$42),"")</f>
        <v>134032</v>
      </c>
      <c r="X42">
        <f ca="1">IFERROR(IF(0=LEN(ReferenceData!$X$42),"",ReferenceData!$X$42),"")</f>
        <v>128120</v>
      </c>
      <c r="Y42">
        <f ca="1">IFERROR(IF(0=LEN(ReferenceData!$Y$42),"",ReferenceData!$Y$42),"")</f>
        <v>123681</v>
      </c>
      <c r="Z42">
        <f ca="1">IFERROR(IF(0=LEN(ReferenceData!$Z$42),"",ReferenceData!$Z$42),"")</f>
        <v>122613</v>
      </c>
      <c r="AA42">
        <f ca="1">IFERROR(IF(0=LEN(ReferenceData!$AA$42),"",ReferenceData!$AA$42),"")</f>
        <v>74598</v>
      </c>
      <c r="AB42">
        <f ca="1">IFERROR(IF(0=LEN(ReferenceData!$AB$42),"",ReferenceData!$AB$42),"")</f>
        <v>69197</v>
      </c>
      <c r="AC42">
        <f ca="1">IFERROR(IF(0=LEN(ReferenceData!$AC$42),"",ReferenceData!$AC$42),"")</f>
        <v>68113</v>
      </c>
      <c r="AD42">
        <f ca="1">IFERROR(IF(0=LEN(ReferenceData!$AD$42),"",ReferenceData!$AD$42),"")</f>
        <v>66115</v>
      </c>
      <c r="AE42">
        <f ca="1">IFERROR(IF(0=LEN(ReferenceData!$AE$42),"",ReferenceData!$AE$42),"")</f>
        <v>64912</v>
      </c>
      <c r="AF42">
        <f ca="1">IFERROR(IF(0=LEN(ReferenceData!$AF$42),"",ReferenceData!$AF$42),"")</f>
        <v>66347</v>
      </c>
      <c r="AG42">
        <f ca="1">IFERROR(IF(0=LEN(ReferenceData!$AG$42),"",ReferenceData!$AG$42),"")</f>
        <v>67125</v>
      </c>
      <c r="AH42">
        <f ca="1">IFERROR(IF(0=LEN(ReferenceData!$AH$42),"",ReferenceData!$AH$42),"")</f>
        <v>68137</v>
      </c>
      <c r="AI42">
        <f ca="1">IFERROR(IF(0=LEN(ReferenceData!$AI$42),"",ReferenceData!$AI$42),"")</f>
        <v>67772</v>
      </c>
      <c r="AJ42">
        <f ca="1">IFERROR(IF(0=LEN(ReferenceData!$AJ$42),"",ReferenceData!$AJ$42),"")</f>
        <v>67455</v>
      </c>
      <c r="AK42">
        <f ca="1">IFERROR(IF(0=LEN(ReferenceData!$AK$42),"",ReferenceData!$AK$42),"")</f>
        <v>67031</v>
      </c>
      <c r="AL42">
        <f ca="1">IFERROR(IF(0=LEN(ReferenceData!$AL$42),"",ReferenceData!$AL$42),"")</f>
        <v>66284</v>
      </c>
      <c r="AM42">
        <f ca="1">IFERROR(IF(0=LEN(ReferenceData!$AM$42),"",ReferenceData!$AM$42),"")</f>
        <v>67155</v>
      </c>
      <c r="AN42">
        <f ca="1">IFERROR(IF(0=LEN(ReferenceData!$AN$42),"",ReferenceData!$AN$42),"")</f>
        <v>66490</v>
      </c>
      <c r="AO42">
        <f ca="1">IFERROR(IF(0=LEN(ReferenceData!$AO$42),"",ReferenceData!$AO$42),"")</f>
        <v>64912</v>
      </c>
      <c r="AP42">
        <f ca="1">IFERROR(IF(0=LEN(ReferenceData!$AP$42),"",ReferenceData!$AP$42),"")</f>
        <v>61997</v>
      </c>
      <c r="AQ42">
        <f ca="1">IFERROR(IF(0=LEN(ReferenceData!$AQ$42),"",ReferenceData!$AQ$42),"")</f>
        <v>60396</v>
      </c>
      <c r="AR42">
        <f ca="1">IFERROR(IF(0=LEN(ReferenceData!$AR$42),"",ReferenceData!$AR$42),"")</f>
        <v>57078</v>
      </c>
      <c r="AS42">
        <f ca="1">IFERROR(IF(0=LEN(ReferenceData!$AS$42),"",ReferenceData!$AS$42),"")</f>
        <v>56826</v>
      </c>
      <c r="AT42">
        <f ca="1">IFERROR(IF(0=LEN(ReferenceData!$AT$42),"",ReferenceData!$AT$42),"")</f>
        <v>56069</v>
      </c>
      <c r="AU42">
        <f ca="1">IFERROR(IF(0=LEN(ReferenceData!$AU$42),"",ReferenceData!$AU$42),"")</f>
        <v>52674</v>
      </c>
      <c r="AV42">
        <f ca="1">IFERROR(IF(0=LEN(ReferenceData!$AV$42),"",ReferenceData!$AV$42),"")</f>
        <v>48389</v>
      </c>
      <c r="AW42">
        <f ca="1">IFERROR(IF(0=LEN(ReferenceData!$AW$42),"",ReferenceData!$AW$42),"")</f>
        <v>44761</v>
      </c>
      <c r="AX42">
        <f ca="1">IFERROR(IF(0=LEN(ReferenceData!$AX$42),"",ReferenceData!$AX$42),"")</f>
        <v>40935</v>
      </c>
      <c r="AY42">
        <f ca="1">IFERROR(IF(0=LEN(ReferenceData!$AY$42),"",ReferenceData!$AY$42),"")</f>
        <v>39307</v>
      </c>
      <c r="AZ42">
        <f ca="1">IFERROR(IF(0=LEN(ReferenceData!$AZ$42),"",ReferenceData!$AZ$42),"")</f>
        <v>40307</v>
      </c>
      <c r="BA42">
        <f ca="1">IFERROR(IF(0=LEN(ReferenceData!$BA$42),"",ReferenceData!$BA$42),"")</f>
        <v>40570</v>
      </c>
      <c r="BB42">
        <f ca="1">IFERROR(IF(0=LEN(ReferenceData!$BB$42),"",ReferenceData!$BB$42),"")</f>
        <v>40139</v>
      </c>
      <c r="BC42">
        <f ca="1">IFERROR(IF(0=LEN(ReferenceData!$BC$42),"",ReferenceData!$BC$42),"")</f>
        <v>39636</v>
      </c>
      <c r="BD42">
        <f ca="1">IFERROR(IF(0=LEN(ReferenceData!$BD$42),"",ReferenceData!$BD$42),"")</f>
        <v>39313</v>
      </c>
      <c r="BE42">
        <f ca="1">IFERROR(IF(0=LEN(ReferenceData!$BE$42),"",ReferenceData!$BE$42),"")</f>
        <v>52749</v>
      </c>
      <c r="BF42">
        <f ca="1">IFERROR(IF(0=LEN(ReferenceData!$BF$42),"",ReferenceData!$BF$42),"")</f>
        <v>51937</v>
      </c>
      <c r="BG42">
        <f ca="1">IFERROR(IF(0=LEN(ReferenceData!$BG$42),"",ReferenceData!$BG$42),"")</f>
        <v>52109</v>
      </c>
      <c r="BH42">
        <f ca="1">IFERROR(IF(0=LEN(ReferenceData!$BH$42),"",ReferenceData!$BH$42),"")</f>
        <v>52299</v>
      </c>
      <c r="BI42">
        <f ca="1">IFERROR(IF(0=LEN(ReferenceData!$BI$42),"",ReferenceData!$BI$42),"")</f>
        <v>52248</v>
      </c>
      <c r="BJ42">
        <f ca="1">IFERROR(IF(0=LEN(ReferenceData!$BJ$42),"",ReferenceData!$BJ$42),"")</f>
        <v>51509</v>
      </c>
      <c r="BK42">
        <f ca="1">IFERROR(IF(0=LEN(ReferenceData!$BK$42),"",ReferenceData!$BK$42),"")</f>
        <v>48406</v>
      </c>
      <c r="BL42">
        <f ca="1">IFERROR(IF(0=LEN(ReferenceData!$BL$42),"",ReferenceData!$BL$42),"")</f>
        <v>47777</v>
      </c>
      <c r="BM42" t="str">
        <f ca="1">IFERROR(IF(0=LEN(ReferenceData!$BM$42),"",ReferenceData!$BM$42),"")</f>
        <v/>
      </c>
    </row>
    <row r="43" spans="1:65" x14ac:dyDescent="0.25">
      <c r="A43" t="str">
        <f>IFERROR(IF(0=LEN(ReferenceData!$A$43),"",ReferenceData!$A$43),"")</f>
        <v xml:space="preserve">                Wells Fargo &amp; Co</v>
      </c>
      <c r="B43" t="str">
        <f>IFERROR(IF(0=LEN(ReferenceData!$B$43),"",ReferenceData!$B$43),"")</f>
        <v>WFC US Equity</v>
      </c>
      <c r="C43" t="str">
        <f>IFERROR(IF(0=LEN(ReferenceData!$C$43),"",ReferenceData!$C$43),"")</f>
        <v>FC471</v>
      </c>
      <c r="D43" t="str">
        <f>IFERROR(IF(0=LEN(ReferenceData!$D$43),"",ReferenceData!$D$43),"")</f>
        <v>FDIC_SECS_AVAIL_FOR_SALE_MKT_VAL</v>
      </c>
      <c r="E43" t="str">
        <f>IFERROR(IF(0=LEN(ReferenceData!$E$43),"",ReferenceData!$E$43),"")</f>
        <v>Dynamic</v>
      </c>
      <c r="F43">
        <f ca="1">IFERROR(IF(0=LEN(ReferenceData!$F$43),"",ReferenceData!$F$43),"")</f>
        <v>162978</v>
      </c>
      <c r="G43">
        <f ca="1">IFERROR(IF(0=LEN(ReferenceData!$G$43),"",ReferenceData!$G$43),"")</f>
        <v>166004</v>
      </c>
      <c r="H43">
        <f ca="1">IFERROR(IF(0=LEN(ReferenceData!$H$43),"",ReferenceData!$H$43),"")</f>
        <v>148752</v>
      </c>
      <c r="I43">
        <f ca="1">IFERROR(IF(0=LEN(ReferenceData!$I$43),"",ReferenceData!$I$43),"")</f>
        <v>138245</v>
      </c>
      <c r="J43">
        <f ca="1">IFERROR(IF(0=LEN(ReferenceData!$J$43),"",ReferenceData!$J$43),"")</f>
        <v>130448</v>
      </c>
      <c r="K43">
        <f ca="1">IFERROR(IF(0=LEN(ReferenceData!$K$43),"",ReferenceData!$K$43),"")</f>
        <v>126437</v>
      </c>
      <c r="L43">
        <f ca="1">IFERROR(IF(0=LEN(ReferenceData!$L$43),"",ReferenceData!$L$43),"")</f>
        <v>134251</v>
      </c>
      <c r="M43">
        <f ca="1">IFERROR(IF(0=LEN(ReferenceData!$M$43),"",ReferenceData!$M$43),"")</f>
        <v>144398</v>
      </c>
      <c r="N43">
        <f ca="1">IFERROR(IF(0=LEN(ReferenceData!$N$43),"",ReferenceData!$N$43),"")</f>
        <v>113594</v>
      </c>
      <c r="O43">
        <f ca="1">IFERROR(IF(0=LEN(ReferenceData!$O$43),"",ReferenceData!$O$43),"")</f>
        <v>115835</v>
      </c>
      <c r="P43">
        <f ca="1">IFERROR(IF(0=LEN(ReferenceData!$P$43),"",ReferenceData!$P$43),"")</f>
        <v>125832</v>
      </c>
      <c r="Q43">
        <f ca="1">IFERROR(IF(0=LEN(ReferenceData!$Q$43),"",ReferenceData!$Q$43),"")</f>
        <v>168436</v>
      </c>
      <c r="R43">
        <f ca="1">IFERROR(IF(0=LEN(ReferenceData!$R$43),"",ReferenceData!$R$43),"")</f>
        <v>177244</v>
      </c>
      <c r="S43">
        <f ca="1">IFERROR(IF(0=LEN(ReferenceData!$S$43),"",ReferenceData!$S$43),"")</f>
        <v>185556</v>
      </c>
      <c r="T43">
        <f ca="1">IFERROR(IF(0=LEN(ReferenceData!$T$43),"",ReferenceData!$T$43),"")</f>
        <v>189897</v>
      </c>
      <c r="U43">
        <f ca="1">IFERROR(IF(0=LEN(ReferenceData!$U$43),"",ReferenceData!$U$43),"")</f>
        <v>200850</v>
      </c>
      <c r="V43">
        <f ca="1">IFERROR(IF(0=LEN(ReferenceData!$V$43),"",ReferenceData!$V$43),"")</f>
        <v>220392</v>
      </c>
      <c r="W43">
        <f ca="1">IFERROR(IF(0=LEN(ReferenceData!$W$43),"",ReferenceData!$W$43),"")</f>
        <v>220573</v>
      </c>
      <c r="X43">
        <f ca="1">IFERROR(IF(0=LEN(ReferenceData!$X$43),"",ReferenceData!$X$43),"")</f>
        <v>228899</v>
      </c>
      <c r="Y43">
        <f ca="1">IFERROR(IF(0=LEN(ReferenceData!$Y$43),"",ReferenceData!$Y$43),"")</f>
        <v>251229</v>
      </c>
      <c r="Z43">
        <f ca="1">IFERROR(IF(0=LEN(ReferenceData!$Z$43),"",ReferenceData!$Z$43),"")</f>
        <v>263459</v>
      </c>
      <c r="AA43">
        <f ca="1">IFERROR(IF(0=LEN(ReferenceData!$AA$43),"",ReferenceData!$AA$43),"")</f>
        <v>271236</v>
      </c>
      <c r="AB43">
        <f ca="1">IFERROR(IF(0=LEN(ReferenceData!$AB$43),"",ReferenceData!$AB$43),"")</f>
        <v>265983</v>
      </c>
      <c r="AC43">
        <f ca="1">IFERROR(IF(0=LEN(ReferenceData!$AC$43),"",ReferenceData!$AC$43),"")</f>
        <v>268099</v>
      </c>
      <c r="AD43">
        <f ca="1">IFERROR(IF(0=LEN(ReferenceData!$AD$43),"",ReferenceData!$AD$43),"")</f>
        <v>269912</v>
      </c>
      <c r="AE43">
        <f ca="1">IFERROR(IF(0=LEN(ReferenceData!$AE$43),"",ReferenceData!$AE$43),"")</f>
        <v>262964</v>
      </c>
      <c r="AF43">
        <f ca="1">IFERROR(IF(0=LEN(ReferenceData!$AF$43),"",ReferenceData!$AF$43),"")</f>
        <v>265687</v>
      </c>
      <c r="AG43">
        <f ca="1">IFERROR(IF(0=LEN(ReferenceData!$AG$43),"",ReferenceData!$AG$43),"")</f>
        <v>271656</v>
      </c>
      <c r="AH43">
        <f ca="1">IFERROR(IF(0=LEN(ReferenceData!$AH$43),"",ReferenceData!$AH$43),"")</f>
        <v>278086</v>
      </c>
      <c r="AI43">
        <f ca="1">IFERROR(IF(0=LEN(ReferenceData!$AI$43),"",ReferenceData!$AI$43),"")</f>
        <v>272723</v>
      </c>
      <c r="AJ43">
        <f ca="1">IFERROR(IF(0=LEN(ReferenceData!$AJ$43),"",ReferenceData!$AJ$43),"")</f>
        <v>270165</v>
      </c>
      <c r="AK43">
        <f ca="1">IFERROR(IF(0=LEN(ReferenceData!$AK$43),"",ReferenceData!$AK$43),"")</f>
        <v>300653</v>
      </c>
      <c r="AL43">
        <f ca="1">IFERROR(IF(0=LEN(ReferenceData!$AL$43),"",ReferenceData!$AL$43),"")</f>
        <v>309154</v>
      </c>
      <c r="AM43">
        <f ca="1">IFERROR(IF(0=LEN(ReferenceData!$AM$43),"",ReferenceData!$AM$43),"")</f>
        <v>293434</v>
      </c>
      <c r="AN43">
        <f ca="1">IFERROR(IF(0=LEN(ReferenceData!$AN$43),"",ReferenceData!$AN$43),"")</f>
        <v>259510</v>
      </c>
      <c r="AO43">
        <f ca="1">IFERROR(IF(0=LEN(ReferenceData!$AO$43),"",ReferenceData!$AO$43),"")</f>
        <v>260539</v>
      </c>
      <c r="AP43">
        <f ca="1">IFERROR(IF(0=LEN(ReferenceData!$AP$43),"",ReferenceData!$AP$43),"")</f>
        <v>267820</v>
      </c>
      <c r="AQ43">
        <f ca="1">IFERROR(IF(0=LEN(ReferenceData!$AQ$43),"",ReferenceData!$AQ$43),"")</f>
        <v>266882</v>
      </c>
      <c r="AR43">
        <f ca="1">IFERROR(IF(0=LEN(ReferenceData!$AR$43),"",ReferenceData!$AR$43),"")</f>
        <v>260875</v>
      </c>
      <c r="AS43">
        <f ca="1">IFERROR(IF(0=LEN(ReferenceData!$AS$43),"",ReferenceData!$AS$43),"")</f>
        <v>257895</v>
      </c>
      <c r="AT43">
        <f ca="1">IFERROR(IF(0=LEN(ReferenceData!$AT$43),"",ReferenceData!$AT$43),"")</f>
        <v>257956</v>
      </c>
      <c r="AU43">
        <f ca="1">IFERROR(IF(0=LEN(ReferenceData!$AU$43),"",ReferenceData!$AU$43),"")</f>
        <v>249450</v>
      </c>
      <c r="AV43">
        <f ca="1">IFERROR(IF(0=LEN(ReferenceData!$AV$43),"",ReferenceData!$AV$43),"")</f>
        <v>249756</v>
      </c>
      <c r="AW43">
        <f ca="1">IFERROR(IF(0=LEN(ReferenceData!$AW$43),"",ReferenceData!$AW$43),"")</f>
        <v>253369</v>
      </c>
      <c r="AX43">
        <f ca="1">IFERROR(IF(0=LEN(ReferenceData!$AX$43),"",ReferenceData!$AX$43),"")</f>
        <v>252683</v>
      </c>
      <c r="AY43">
        <f ca="1">IFERROR(IF(0=LEN(ReferenceData!$AY$43),"",ReferenceData!$AY$43),"")</f>
        <v>259874</v>
      </c>
      <c r="AZ43">
        <f ca="1">IFERROR(IF(0=LEN(ReferenceData!$AZ$43),"",ReferenceData!$AZ$43),"")</f>
        <v>249439</v>
      </c>
      <c r="BA43">
        <f ca="1">IFERROR(IF(0=LEN(ReferenceData!$BA$43),"",ReferenceData!$BA$43),"")</f>
        <v>248160</v>
      </c>
      <c r="BB43">
        <f ca="1">IFERROR(IF(0=LEN(ReferenceData!$BB$43),"",ReferenceData!$BB$43),"")</f>
        <v>235199</v>
      </c>
      <c r="BC43">
        <f ca="1">IFERROR(IF(0=LEN(ReferenceData!$BC$43),"",ReferenceData!$BC$43),"")</f>
        <v>229350</v>
      </c>
      <c r="BD43">
        <f ca="1">IFERROR(IF(0=LEN(ReferenceData!$BD$43),"",ReferenceData!$BD$43),"")</f>
        <v>226846</v>
      </c>
      <c r="BE43">
        <f ca="1">IFERROR(IF(0=LEN(ReferenceData!$BE$43),"",ReferenceData!$BE$43),"")</f>
        <v>230266</v>
      </c>
      <c r="BF43">
        <f ca="1">IFERROR(IF(0=LEN(ReferenceData!$BF$43),"",ReferenceData!$BF$43),"")</f>
        <v>222613</v>
      </c>
      <c r="BG43">
        <f ca="1">IFERROR(IF(0=LEN(ReferenceData!$BG$43),"",ReferenceData!$BG$43),"")</f>
        <v>207176</v>
      </c>
      <c r="BH43">
        <f ca="1">IFERROR(IF(0=LEN(ReferenceData!$BH$43),"",ReferenceData!$BH$43),"")</f>
        <v>186298</v>
      </c>
      <c r="BI43">
        <f ca="1">IFERROR(IF(0=LEN(ReferenceData!$BI$43),"",ReferenceData!$BI$43),"")</f>
        <v>167906</v>
      </c>
      <c r="BJ43">
        <f ca="1">IFERROR(IF(0=LEN(ReferenceData!$BJ$43),"",ReferenceData!$BJ$43),"")</f>
        <v>172654</v>
      </c>
      <c r="BK43">
        <f ca="1">IFERROR(IF(0=LEN(ReferenceData!$BK$43),"",ReferenceData!$BK$43),"")</f>
        <v>176875</v>
      </c>
      <c r="BL43">
        <f ca="1">IFERROR(IF(0=LEN(ReferenceData!$BL$43),"",ReferenceData!$BL$43),"")</f>
        <v>157931</v>
      </c>
      <c r="BM43" t="str">
        <f ca="1">IFERROR(IF(0=LEN(ReferenceData!$BM$43),"",ReferenceData!$BM$43),"")</f>
        <v/>
      </c>
    </row>
    <row r="44" spans="1:65" x14ac:dyDescent="0.25">
      <c r="A44" t="str">
        <f>IFERROR(IF(0=LEN(ReferenceData!$A$44),"",ReferenceData!$A$44),"")</f>
        <v xml:space="preserve">                Western Alliance Bancorp</v>
      </c>
      <c r="B44" t="str">
        <f>IFERROR(IF(0=LEN(ReferenceData!$B$44),"",ReferenceData!$B$44),"")</f>
        <v>WAL US Equity</v>
      </c>
      <c r="C44" t="str">
        <f>IFERROR(IF(0=LEN(ReferenceData!$C$44),"",ReferenceData!$C$44),"")</f>
        <v>FC471</v>
      </c>
      <c r="D44" t="str">
        <f>IFERROR(IF(0=LEN(ReferenceData!$D$44),"",ReferenceData!$D$44),"")</f>
        <v>FDIC_SECS_AVAIL_FOR_SALE_MKT_VAL</v>
      </c>
      <c r="E44" t="str">
        <f>IFERROR(IF(0=LEN(ReferenceData!$E$44),"",ReferenceData!$E$44),"")</f>
        <v>Dynamic</v>
      </c>
      <c r="F44">
        <f ca="1">IFERROR(IF(0=LEN(ReferenceData!$F$44),"",ReferenceData!$F$44),"")</f>
        <v>13468.288</v>
      </c>
      <c r="G44">
        <f ca="1">IFERROR(IF(0=LEN(ReferenceData!$G$44),"",ReferenceData!$G$44),"")</f>
        <v>14749.968000000001</v>
      </c>
      <c r="H44">
        <f ca="1">IFERROR(IF(0=LEN(ReferenceData!$H$44),"",ReferenceData!$H$44),"")</f>
        <v>15681.272999999999</v>
      </c>
      <c r="I44">
        <f ca="1">IFERROR(IF(0=LEN(ReferenceData!$I$44),"",ReferenceData!$I$44),"")</f>
        <v>14508.793</v>
      </c>
      <c r="J44">
        <f ca="1">IFERROR(IF(0=LEN(ReferenceData!$J$44),"",ReferenceData!$J$44),"")</f>
        <v>11164.916999999999</v>
      </c>
      <c r="K44">
        <f ca="1">IFERROR(IF(0=LEN(ReferenceData!$K$44),"",ReferenceData!$K$44),"")</f>
        <v>9688.7450000000008</v>
      </c>
      <c r="L44">
        <f ca="1">IFERROR(IF(0=LEN(ReferenceData!$L$44),"",ReferenceData!$L$44),"")</f>
        <v>8630.7579999999998</v>
      </c>
      <c r="M44">
        <f ca="1">IFERROR(IF(0=LEN(ReferenceData!$M$44),"",ReferenceData!$M$44),"")</f>
        <v>7645.4719999999998</v>
      </c>
      <c r="N44">
        <f ca="1">IFERROR(IF(0=LEN(ReferenceData!$N$44),"",ReferenceData!$N$44),"")</f>
        <v>7092.4179999999997</v>
      </c>
      <c r="O44">
        <f ca="1">IFERROR(IF(0=LEN(ReferenceData!$O$44),"",ReferenceData!$O$44),"")</f>
        <v>6960.3239999999996</v>
      </c>
      <c r="P44">
        <f ca="1">IFERROR(IF(0=LEN(ReferenceData!$P$44),"",ReferenceData!$P$44),"")</f>
        <v>7267.6450000000004</v>
      </c>
      <c r="Q44">
        <f ca="1">IFERROR(IF(0=LEN(ReferenceData!$Q$44),"",ReferenceData!$Q$44),"")</f>
        <v>6852.1949999999997</v>
      </c>
      <c r="R44">
        <f ca="1">IFERROR(IF(0=LEN(ReferenceData!$R$44),"",ReferenceData!$R$44),"")</f>
        <v>6188.8159999999998</v>
      </c>
      <c r="S44">
        <f ca="1">IFERROR(IF(0=LEN(ReferenceData!$S$44),"",ReferenceData!$S$44),"")</f>
        <v>6383.6080000000002</v>
      </c>
      <c r="T44">
        <f ca="1">IFERROR(IF(0=LEN(ReferenceData!$T$44),"",ReferenceData!$T$44),"")</f>
        <v>6615.2020000000002</v>
      </c>
      <c r="U44">
        <f ca="1">IFERROR(IF(0=LEN(ReferenceData!$U$44),"",ReferenceData!$U$44),"")</f>
        <v>6939.9390000000003</v>
      </c>
      <c r="V44">
        <f ca="1">IFERROR(IF(0=LEN(ReferenceData!$V$44),"",ReferenceData!$V$44),"")</f>
        <v>4708.5110000000004</v>
      </c>
      <c r="W44">
        <f ca="1">IFERROR(IF(0=LEN(ReferenceData!$W$44),"",ReferenceData!$W$44),"")</f>
        <v>3975.2249999999999</v>
      </c>
      <c r="X44">
        <f ca="1">IFERROR(IF(0=LEN(ReferenceData!$X$44),"",ReferenceData!$X$44),"")</f>
        <v>3516.922</v>
      </c>
      <c r="Y44">
        <f ca="1">IFERROR(IF(0=LEN(ReferenceData!$Y$44),"",ReferenceData!$Y$44),"")</f>
        <v>3676.6509999999998</v>
      </c>
      <c r="Z44">
        <f ca="1">IFERROR(IF(0=LEN(ReferenceData!$Z$44),"",ReferenceData!$Z$44),"")</f>
        <v>3346.31</v>
      </c>
      <c r="AA44">
        <f ca="1">IFERROR(IF(0=LEN(ReferenceData!$AA$44),"",ReferenceData!$AA$44),"")</f>
        <v>3512.828</v>
      </c>
      <c r="AB44">
        <f ca="1">IFERROR(IF(0=LEN(ReferenceData!$AB$44),"",ReferenceData!$AB$44),"")</f>
        <v>3253.0940000000001</v>
      </c>
      <c r="AC44">
        <f ca="1">IFERROR(IF(0=LEN(ReferenceData!$AC$44),"",ReferenceData!$AC$44),"")</f>
        <v>3244.2469999999998</v>
      </c>
      <c r="AD44">
        <f ca="1">IFERROR(IF(0=LEN(ReferenceData!$AD$44),"",ReferenceData!$AD$44),"")</f>
        <v>3276.9879999999998</v>
      </c>
      <c r="AE44">
        <f ca="1">IFERROR(IF(0=LEN(ReferenceData!$AE$44),"",ReferenceData!$AE$44),"")</f>
        <v>3107.076</v>
      </c>
      <c r="AF44">
        <f ca="1">IFERROR(IF(0=LEN(ReferenceData!$AF$44),"",ReferenceData!$AF$44),"")</f>
        <v>3199.0149999999999</v>
      </c>
      <c r="AG44">
        <f ca="1">IFERROR(IF(0=LEN(ReferenceData!$AG$44),"",ReferenceData!$AG$44),"")</f>
        <v>3261.2979999999998</v>
      </c>
      <c r="AH44">
        <f ca="1">IFERROR(IF(0=LEN(ReferenceData!$AH$44),"",ReferenceData!$AH$44),"")</f>
        <v>3499.5189999999998</v>
      </c>
      <c r="AI44">
        <f ca="1">IFERROR(IF(0=LEN(ReferenceData!$AI$44),"",ReferenceData!$AI$44),"")</f>
        <v>3552.8440000000001</v>
      </c>
      <c r="AJ44">
        <f ca="1">IFERROR(IF(0=LEN(ReferenceData!$AJ$44),"",ReferenceData!$AJ$44),"")</f>
        <v>3084.6579999999999</v>
      </c>
      <c r="AK44">
        <f ca="1">IFERROR(IF(0=LEN(ReferenceData!$AK$44),"",ReferenceData!$AK$44),"")</f>
        <v>2700.011</v>
      </c>
      <c r="AL44">
        <f ca="1">IFERROR(IF(0=LEN(ReferenceData!$AL$44),"",ReferenceData!$AL$44),"")</f>
        <v>2609.38</v>
      </c>
      <c r="AM44">
        <f ca="1">IFERROR(IF(0=LEN(ReferenceData!$AM$44),"",ReferenceData!$AM$44),"")</f>
        <v>2659.1819999999998</v>
      </c>
      <c r="AN44">
        <f ca="1">IFERROR(IF(0=LEN(ReferenceData!$AN$44),"",ReferenceData!$AN$44),"")</f>
        <v>2165.5390000000002</v>
      </c>
      <c r="AO44">
        <f ca="1">IFERROR(IF(0=LEN(ReferenceData!$AO$44),"",ReferenceData!$AO$44),"")</f>
        <v>2012.82</v>
      </c>
      <c r="AP44">
        <f ca="1">IFERROR(IF(0=LEN(ReferenceData!$AP$44),"",ReferenceData!$AP$44),"")</f>
        <v>1982.5229999999999</v>
      </c>
      <c r="AQ44">
        <f ca="1">IFERROR(IF(0=LEN(ReferenceData!$AQ$44),"",ReferenceData!$AQ$44),"")</f>
        <v>1932.98</v>
      </c>
      <c r="AR44">
        <f ca="1">IFERROR(IF(0=LEN(ReferenceData!$AR$44),"",ReferenceData!$AR$44),"")</f>
        <v>1478.2339999999999</v>
      </c>
      <c r="AS44">
        <f ca="1">IFERROR(IF(0=LEN(ReferenceData!$AS$44),"",ReferenceData!$AS$44),"")</f>
        <v>1399.4280000000001</v>
      </c>
      <c r="AT44">
        <f ca="1">IFERROR(IF(0=LEN(ReferenceData!$AT$44),"",ReferenceData!$AT$44),"")</f>
        <v>1520.2370000000001</v>
      </c>
      <c r="AU44">
        <f ca="1">IFERROR(IF(0=LEN(ReferenceData!$AU$44),"",ReferenceData!$AU$44),"")</f>
        <v>1570.0619999999999</v>
      </c>
      <c r="AV44">
        <f ca="1">IFERROR(IF(0=LEN(ReferenceData!$AV$44),"",ReferenceData!$AV$44),"")</f>
        <v>1578.6790000000001</v>
      </c>
      <c r="AW44">
        <f ca="1">IFERROR(IF(0=LEN(ReferenceData!$AW$44),"",ReferenceData!$AW$44),"")</f>
        <v>1367.2840000000001</v>
      </c>
      <c r="AX44">
        <f ca="1">IFERROR(IF(0=LEN(ReferenceData!$AX$44),"",ReferenceData!$AX$44),"")</f>
        <v>1373.328</v>
      </c>
      <c r="AY44">
        <f ca="1">IFERROR(IF(0=LEN(ReferenceData!$AY$44),"",ReferenceData!$AY$44),"")</f>
        <v>1078.0619999999999</v>
      </c>
      <c r="AZ44">
        <f ca="1">IFERROR(IF(0=LEN(ReferenceData!$AZ$44),"",ReferenceData!$AZ$44),"")</f>
        <v>988.13800000000003</v>
      </c>
      <c r="BA44">
        <f ca="1">IFERROR(IF(0=LEN(ReferenceData!$BA$44),"",ReferenceData!$BA$44),"")</f>
        <v>1006.981</v>
      </c>
      <c r="BB44">
        <f ca="1">IFERROR(IF(0=LEN(ReferenceData!$BB$44),"",ReferenceData!$BB$44),"")</f>
        <v>940.25400000000002</v>
      </c>
      <c r="BC44">
        <f ca="1">IFERROR(IF(0=LEN(ReferenceData!$BC$44),"",ReferenceData!$BC$44),"")</f>
        <v>1049.903</v>
      </c>
      <c r="BD44">
        <f ca="1">IFERROR(IF(0=LEN(ReferenceData!$BD$44),"",ReferenceData!$BD$44),"")</f>
        <v>1110.759</v>
      </c>
      <c r="BE44">
        <f ca="1">IFERROR(IF(0=LEN(ReferenceData!$BE$44),"",ReferenceData!$BE$44),"")</f>
        <v>1131.491</v>
      </c>
      <c r="BF44">
        <f ca="1">IFERROR(IF(0=LEN(ReferenceData!$BF$44),"",ReferenceData!$BF$44),"")</f>
        <v>1197.7280000000001</v>
      </c>
      <c r="BG44">
        <f ca="1">IFERROR(IF(0=LEN(ReferenceData!$BG$44),"",ReferenceData!$BG$44),"")</f>
        <v>1124.4639999999999</v>
      </c>
      <c r="BH44">
        <f ca="1">IFERROR(IF(0=LEN(ReferenceData!$BH$44),"",ReferenceData!$BH$44),"")</f>
        <v>1048.55</v>
      </c>
      <c r="BI44">
        <f ca="1">IFERROR(IF(0=LEN(ReferenceData!$BI$44),"",ReferenceData!$BI$44),"")</f>
        <v>1260.8420000000001</v>
      </c>
      <c r="BJ44">
        <f ca="1">IFERROR(IF(0=LEN(ReferenceData!$BJ$44),"",ReferenceData!$BJ$44),"")</f>
        <v>1210.646</v>
      </c>
      <c r="BK44">
        <f ca="1">IFERROR(IF(0=LEN(ReferenceData!$BK$44),"",ReferenceData!$BK$44),"")</f>
        <v>873.17</v>
      </c>
      <c r="BL44">
        <f ca="1">IFERROR(IF(0=LEN(ReferenceData!$BL$44),"",ReferenceData!$BL$44),"")</f>
        <v>803.34699999999998</v>
      </c>
      <c r="BM44" t="str">
        <f ca="1">IFERROR(IF(0=LEN(ReferenceData!$BM$44),"",ReferenceData!$BM$44),"")</f>
        <v/>
      </c>
    </row>
    <row r="45" spans="1:65" x14ac:dyDescent="0.25">
      <c r="A45" t="str">
        <f>IFERROR(IF(0=LEN(ReferenceData!$A$45),"",ReferenceData!$A$45),"")</f>
        <v xml:space="preserve">                Zions Bancorp NA</v>
      </c>
      <c r="B45" t="str">
        <f>IFERROR(IF(0=LEN(ReferenceData!$B$45),"",ReferenceData!$B$45),"")</f>
        <v>ZION US Equity</v>
      </c>
      <c r="C45" t="str">
        <f>IFERROR(IF(0=LEN(ReferenceData!$C$45),"",ReferenceData!$C$45),"")</f>
        <v>FC471</v>
      </c>
      <c r="D45" t="str">
        <f>IFERROR(IF(0=LEN(ReferenceData!$D$45),"",ReferenceData!$D$45),"")</f>
        <v>FDIC_SECS_AVAIL_FOR_SALE_MKT_VAL</v>
      </c>
      <c r="E45" t="str">
        <f>IFERROR(IF(0=LEN(ReferenceData!$E$45),"",ReferenceData!$E$45),"")</f>
        <v>Dynamic</v>
      </c>
      <c r="F45" t="str">
        <f ca="1">IFERROR(IF(0=LEN(ReferenceData!$F$45),"",ReferenceData!$F$45),"")</f>
        <v/>
      </c>
      <c r="G45" t="str">
        <f ca="1">IFERROR(IF(0=LEN(ReferenceData!$G$45),"",ReferenceData!$G$45),"")</f>
        <v/>
      </c>
      <c r="H45">
        <f ca="1">IFERROR(IF(0=LEN(ReferenceData!$H$45),"",ReferenceData!$H$45),"")</f>
        <v>9483</v>
      </c>
      <c r="I45">
        <f ca="1">IFERROR(IF(0=LEN(ReferenceData!$I$45),"",ReferenceData!$I$45),"")</f>
        <v>9930.8469999999998</v>
      </c>
      <c r="J45">
        <f ca="1">IFERROR(IF(0=LEN(ReferenceData!$J$45),"",ReferenceData!$J$45),"")</f>
        <v>10300.379999999999</v>
      </c>
      <c r="K45">
        <f ca="1">IFERROR(IF(0=LEN(ReferenceData!$K$45),"",ReferenceData!$K$45),"")</f>
        <v>10147.437</v>
      </c>
      <c r="L45">
        <f ca="1">IFERROR(IF(0=LEN(ReferenceData!$L$45),"",ReferenceData!$L$45),"")</f>
        <v>10831.843999999999</v>
      </c>
      <c r="M45">
        <f ca="1">IFERROR(IF(0=LEN(ReferenceData!$M$45),"",ReferenceData!$M$45),"")</f>
        <v>11594.138000000001</v>
      </c>
      <c r="N45">
        <f ca="1">IFERROR(IF(0=LEN(ReferenceData!$N$45),"",ReferenceData!$N$45),"")</f>
        <v>11914.977000000001</v>
      </c>
      <c r="O45">
        <f ca="1">IFERROR(IF(0=LEN(ReferenceData!$O$45),"",ReferenceData!$O$45),"")</f>
        <v>23233.135999999999</v>
      </c>
      <c r="P45">
        <f ca="1">IFERROR(IF(0=LEN(ReferenceData!$P$45),"",ReferenceData!$P$45),"")</f>
        <v>25297.168000000001</v>
      </c>
      <c r="Q45">
        <f ca="1">IFERROR(IF(0=LEN(ReferenceData!$Q$45),"",ReferenceData!$Q$45),"")</f>
        <v>26145.45</v>
      </c>
      <c r="R45">
        <f ca="1">IFERROR(IF(0=LEN(ReferenceData!$R$45),"",ReferenceData!$R$45),"")</f>
        <v>24048.121999999999</v>
      </c>
      <c r="S45">
        <f ca="1">IFERROR(IF(0=LEN(ReferenceData!$S$45),"",ReferenceData!$S$45),"")</f>
        <v>20461.117999999999</v>
      </c>
      <c r="T45">
        <f ca="1">IFERROR(IF(0=LEN(ReferenceData!$T$45),"",ReferenceData!$T$45),"")</f>
        <v>18170.403999999999</v>
      </c>
      <c r="U45">
        <f ca="1">IFERROR(IF(0=LEN(ReferenceData!$U$45),"",ReferenceData!$U$45),"")</f>
        <v>16643.615000000002</v>
      </c>
      <c r="V45" t="str">
        <f ca="1">IFERROR(IF(0=LEN(ReferenceData!$V$45),"",ReferenceData!$V$45),"")</f>
        <v/>
      </c>
      <c r="W45" t="str">
        <f ca="1">IFERROR(IF(0=LEN(ReferenceData!$W$45),"",ReferenceData!$W$45),"")</f>
        <v/>
      </c>
      <c r="X45" t="str">
        <f ca="1">IFERROR(IF(0=LEN(ReferenceData!$X$45),"",ReferenceData!$X$45),"")</f>
        <v/>
      </c>
      <c r="Y45" t="str">
        <f ca="1">IFERROR(IF(0=LEN(ReferenceData!$Y$45),"",ReferenceData!$Y$45),"")</f>
        <v/>
      </c>
      <c r="Z45" t="str">
        <f ca="1">IFERROR(IF(0=LEN(ReferenceData!$Z$45),"",ReferenceData!$Z$45),"")</f>
        <v/>
      </c>
      <c r="AA45" t="str">
        <f ca="1">IFERROR(IF(0=LEN(ReferenceData!$AA$45),"",ReferenceData!$AA$45),"")</f>
        <v/>
      </c>
      <c r="AB45" t="str">
        <f ca="1">IFERROR(IF(0=LEN(ReferenceData!$AB$45),"",ReferenceData!$AB$45),"")</f>
        <v/>
      </c>
      <c r="AC45" t="str">
        <f ca="1">IFERROR(IF(0=LEN(ReferenceData!$AC$45),"",ReferenceData!$AC$45),"")</f>
        <v/>
      </c>
      <c r="AD45" t="str">
        <f ca="1">IFERROR(IF(0=LEN(ReferenceData!$AD$45),"",ReferenceData!$AD$45),"")</f>
        <v/>
      </c>
      <c r="AE45" t="str">
        <f ca="1">IFERROR(IF(0=LEN(ReferenceData!$AE$45),"",ReferenceData!$AE$45),"")</f>
        <v/>
      </c>
      <c r="AF45" t="str">
        <f ca="1">IFERROR(IF(0=LEN(ReferenceData!$AF$45),"",ReferenceData!$AF$45),"")</f>
        <v/>
      </c>
      <c r="AG45" t="str">
        <f ca="1">IFERROR(IF(0=LEN(ReferenceData!$AG$45),"",ReferenceData!$AG$45),"")</f>
        <v/>
      </c>
      <c r="AH45" t="str">
        <f ca="1">IFERROR(IF(0=LEN(ReferenceData!$AH$45),"",ReferenceData!$AH$45),"")</f>
        <v/>
      </c>
      <c r="AI45" t="str">
        <f ca="1">IFERROR(IF(0=LEN(ReferenceData!$AI$45),"",ReferenceData!$AI$45),"")</f>
        <v/>
      </c>
      <c r="AJ45" t="str">
        <f ca="1">IFERROR(IF(0=LEN(ReferenceData!$AJ$45),"",ReferenceData!$AJ$45),"")</f>
        <v/>
      </c>
      <c r="AK45" t="str">
        <f ca="1">IFERROR(IF(0=LEN(ReferenceData!$AK$45),"",ReferenceData!$AK$45),"")</f>
        <v/>
      </c>
      <c r="AL45" t="str">
        <f ca="1">IFERROR(IF(0=LEN(ReferenceData!$AL$45),"",ReferenceData!$AL$45),"")</f>
        <v/>
      </c>
      <c r="AM45" t="str">
        <f ca="1">IFERROR(IF(0=LEN(ReferenceData!$AM$45),"",ReferenceData!$AM$45),"")</f>
        <v/>
      </c>
      <c r="AN45" t="str">
        <f ca="1">IFERROR(IF(0=LEN(ReferenceData!$AN$45),"",ReferenceData!$AN$45),"")</f>
        <v/>
      </c>
      <c r="AO45" t="str">
        <f ca="1">IFERROR(IF(0=LEN(ReferenceData!$AO$45),"",ReferenceData!$AO$45),"")</f>
        <v/>
      </c>
      <c r="AP45" t="str">
        <f ca="1">IFERROR(IF(0=LEN(ReferenceData!$AP$45),"",ReferenceData!$AP$45),"")</f>
        <v/>
      </c>
      <c r="AQ45" t="str">
        <f ca="1">IFERROR(IF(0=LEN(ReferenceData!$AQ$45),"",ReferenceData!$AQ$45),"")</f>
        <v/>
      </c>
      <c r="AR45" t="str">
        <f ca="1">IFERROR(IF(0=LEN(ReferenceData!$AR$45),"",ReferenceData!$AR$45),"")</f>
        <v/>
      </c>
      <c r="AS45" t="str">
        <f ca="1">IFERROR(IF(0=LEN(ReferenceData!$AS$45),"",ReferenceData!$AS$45),"")</f>
        <v/>
      </c>
      <c r="AT45" t="str">
        <f ca="1">IFERROR(IF(0=LEN(ReferenceData!$AT$45),"",ReferenceData!$AT$45),"")</f>
        <v/>
      </c>
      <c r="AU45" t="str">
        <f ca="1">IFERROR(IF(0=LEN(ReferenceData!$AU$45),"",ReferenceData!$AU$45),"")</f>
        <v/>
      </c>
      <c r="AV45" t="str">
        <f ca="1">IFERROR(IF(0=LEN(ReferenceData!$AV$45),"",ReferenceData!$AV$45),"")</f>
        <v/>
      </c>
      <c r="AW45" t="str">
        <f ca="1">IFERROR(IF(0=LEN(ReferenceData!$AW$45),"",ReferenceData!$AW$45),"")</f>
        <v/>
      </c>
      <c r="AX45" t="str">
        <f ca="1">IFERROR(IF(0=LEN(ReferenceData!$AX$45),"",ReferenceData!$AX$45),"")</f>
        <v/>
      </c>
      <c r="AY45" t="str">
        <f ca="1">IFERROR(IF(0=LEN(ReferenceData!$AY$45),"",ReferenceData!$AY$45),"")</f>
        <v/>
      </c>
      <c r="AZ45" t="str">
        <f ca="1">IFERROR(IF(0=LEN(ReferenceData!$AZ$45),"",ReferenceData!$AZ$45),"")</f>
        <v/>
      </c>
      <c r="BA45" t="str">
        <f ca="1">IFERROR(IF(0=LEN(ReferenceData!$BA$45),"",ReferenceData!$BA$45),"")</f>
        <v/>
      </c>
      <c r="BB45" t="str">
        <f ca="1">IFERROR(IF(0=LEN(ReferenceData!$BB$45),"",ReferenceData!$BB$45),"")</f>
        <v/>
      </c>
      <c r="BC45" t="str">
        <f ca="1">IFERROR(IF(0=LEN(ReferenceData!$BC$45),"",ReferenceData!$BC$45),"")</f>
        <v/>
      </c>
      <c r="BD45" t="str">
        <f ca="1">IFERROR(IF(0=LEN(ReferenceData!$BD$45),"",ReferenceData!$BD$45),"")</f>
        <v/>
      </c>
      <c r="BE45" t="str">
        <f ca="1">IFERROR(IF(0=LEN(ReferenceData!$BE$45),"",ReferenceData!$BE$45),"")</f>
        <v/>
      </c>
      <c r="BF45" t="str">
        <f ca="1">IFERROR(IF(0=LEN(ReferenceData!$BF$45),"",ReferenceData!$BF$45),"")</f>
        <v/>
      </c>
      <c r="BG45" t="str">
        <f ca="1">IFERROR(IF(0=LEN(ReferenceData!$BG$45),"",ReferenceData!$BG$45),"")</f>
        <v/>
      </c>
      <c r="BH45" t="str">
        <f ca="1">IFERROR(IF(0=LEN(ReferenceData!$BH$45),"",ReferenceData!$BH$45),"")</f>
        <v/>
      </c>
      <c r="BI45" t="str">
        <f ca="1">IFERROR(IF(0=LEN(ReferenceData!$BI$45),"",ReferenceData!$BI$45),"")</f>
        <v/>
      </c>
      <c r="BJ45" t="str">
        <f ca="1">IFERROR(IF(0=LEN(ReferenceData!$BJ$45),"",ReferenceData!$BJ$45),"")</f>
        <v/>
      </c>
      <c r="BK45" t="str">
        <f ca="1">IFERROR(IF(0=LEN(ReferenceData!$BK$45),"",ReferenceData!$BK$45),"")</f>
        <v/>
      </c>
      <c r="BL45" t="str">
        <f ca="1">IFERROR(IF(0=LEN(ReferenceData!$BL$45),"",ReferenceData!$BL$45),"")</f>
        <v/>
      </c>
      <c r="BM45" t="str">
        <f ca="1">IFERROR(IF(0=LEN(ReferenceData!$BM$45),"",ReferenceData!$BM$45),"")</f>
        <v/>
      </c>
    </row>
    <row r="46" spans="1:65" x14ac:dyDescent="0.25">
      <c r="A46" t="str">
        <f>IFERROR(IF(0=LEN(ReferenceData!$A$46),"",ReferenceData!$A$46),"")</f>
        <v xml:space="preserve">            Securities By Company</v>
      </c>
      <c r="B46" t="str">
        <f>IFERROR(IF(0=LEN(ReferenceData!$B$46),"",ReferenceData!$B$46),"")</f>
        <v/>
      </c>
      <c r="C46" t="str">
        <f>IFERROR(IF(0=LEN(ReferenceData!$C$46),"",ReferenceData!$C$46),"")</f>
        <v/>
      </c>
      <c r="D46" t="str">
        <f>IFERROR(IF(0=LEN(ReferenceData!$D$46),"",ReferenceData!$D$46),"")</f>
        <v/>
      </c>
      <c r="E46" t="str">
        <f>IFERROR(IF(0=LEN(ReferenceData!$E$46),"",ReferenceData!$E$46),"")</f>
        <v>Sum</v>
      </c>
      <c r="F46">
        <f ca="1">IFERROR(IF(0=LEN(ReferenceData!$F$46),"",ReferenceData!$F$46),"")</f>
        <v>3112187.0589999999</v>
      </c>
      <c r="G46">
        <f ca="1">IFERROR(IF(0=LEN(ReferenceData!$G$46),"",ReferenceData!$G$46),"")</f>
        <v>3246324.3680000007</v>
      </c>
      <c r="H46">
        <f ca="1">IFERROR(IF(0=LEN(ReferenceData!$H$46),"",ReferenceData!$H$46),"")</f>
        <v>3190179.1539999996</v>
      </c>
      <c r="I46">
        <f ca="1">IFERROR(IF(0=LEN(ReferenceData!$I$46),"",ReferenceData!$I$46),"")</f>
        <v>3194739.4639999997</v>
      </c>
      <c r="J46">
        <f ca="1">IFERROR(IF(0=LEN(ReferenceData!$J$46),"",ReferenceData!$J$46),"")</f>
        <v>3146521.3119999999</v>
      </c>
      <c r="K46">
        <f ca="1">IFERROR(IF(0=LEN(ReferenceData!$K$46),"",ReferenceData!$K$46),"")</f>
        <v>3032681.3290000004</v>
      </c>
      <c r="L46">
        <f ca="1">IFERROR(IF(0=LEN(ReferenceData!$L$46),"",ReferenceData!$L$46),"")</f>
        <v>3066093.9850000003</v>
      </c>
      <c r="M46">
        <f ca="1">IFERROR(IF(0=LEN(ReferenceData!$M$46),"",ReferenceData!$M$46),"")</f>
        <v>3137649.923</v>
      </c>
      <c r="N46">
        <f ca="1">IFERROR(IF(0=LEN(ReferenceData!$N$46),"",ReferenceData!$N$46),"")</f>
        <v>3231496.8130000001</v>
      </c>
      <c r="O46">
        <f ca="1">IFERROR(IF(0=LEN(ReferenceData!$O$46),"",ReferenceData!$O$46),"")</f>
        <v>3209716.5260000001</v>
      </c>
      <c r="P46">
        <f ca="1">IFERROR(IF(0=LEN(ReferenceData!$P$46),"",ReferenceData!$P$46),"")</f>
        <v>3352786.3460000008</v>
      </c>
      <c r="Q46">
        <f ca="1">IFERROR(IF(0=LEN(ReferenceData!$Q$46),"",ReferenceData!$Q$46),"")</f>
        <v>3424033.2820000001</v>
      </c>
      <c r="R46">
        <f ca="1">IFERROR(IF(0=LEN(ReferenceData!$R$46),"",ReferenceData!$R$46),"")</f>
        <v>3427075.2750000004</v>
      </c>
      <c r="S46">
        <f ca="1">IFERROR(IF(0=LEN(ReferenceData!$S$46),"",ReferenceData!$S$46),"")</f>
        <v>3273918.4810000006</v>
      </c>
      <c r="T46">
        <f ca="1">IFERROR(IF(0=LEN(ReferenceData!$T$46),"",ReferenceData!$T$46),"")</f>
        <v>3200229.1480000005</v>
      </c>
      <c r="U46">
        <f ca="1">IFERROR(IF(0=LEN(ReferenceData!$U$46),"",ReferenceData!$U$46),"")</f>
        <v>3046941.7170000002</v>
      </c>
      <c r="V46">
        <f ca="1">IFERROR(IF(0=LEN(ReferenceData!$V$46),"",ReferenceData!$V$46),"")</f>
        <v>2771134.9200000004</v>
      </c>
      <c r="W46">
        <f ca="1">IFERROR(IF(0=LEN(ReferenceData!$W$46),"",ReferenceData!$W$46),"")</f>
        <v>2549648.7309999997</v>
      </c>
      <c r="X46">
        <f ca="1">IFERROR(IF(0=LEN(ReferenceData!$X$46),"",ReferenceData!$X$46),"")</f>
        <v>2416273.9110000003</v>
      </c>
      <c r="Y46">
        <f ca="1">IFERROR(IF(0=LEN(ReferenceData!$Y$46),"",ReferenceData!$Y$46),"")</f>
        <v>2300869.108</v>
      </c>
      <c r="Z46">
        <f ca="1">IFERROR(IF(0=LEN(ReferenceData!$Z$46),"",ReferenceData!$Z$46),"")</f>
        <v>2176702.1329999999</v>
      </c>
      <c r="AA46">
        <f ca="1">IFERROR(IF(0=LEN(ReferenceData!$AA$46),"",ReferenceData!$AA$46),"")</f>
        <v>2128858.5719999997</v>
      </c>
      <c r="AB46">
        <f ca="1">IFERROR(IF(0=LEN(ReferenceData!$AB$46),"",ReferenceData!$AB$46),"")</f>
        <v>2004431.0270000002</v>
      </c>
      <c r="AC46">
        <f ca="1">IFERROR(IF(0=LEN(ReferenceData!$AC$46),"",ReferenceData!$AC$46),"")</f>
        <v>1958442.8840000001</v>
      </c>
      <c r="AD46">
        <f ca="1">IFERROR(IF(0=LEN(ReferenceData!$AD$46),"",ReferenceData!$AD$46),"")</f>
        <v>1956848.5009999995</v>
      </c>
      <c r="AE46">
        <f ca="1">IFERROR(IF(0=LEN(ReferenceData!$AE$46),"",ReferenceData!$AE$46),"")</f>
        <v>1899709.0659999996</v>
      </c>
      <c r="AF46">
        <f ca="1">IFERROR(IF(0=LEN(ReferenceData!$AF$46),"",ReferenceData!$AF$46),"")</f>
        <v>1903562.7719999999</v>
      </c>
      <c r="AG46">
        <f ca="1">IFERROR(IF(0=LEN(ReferenceData!$AG$46),"",ReferenceData!$AG$46),"")</f>
        <v>1888906.0800000003</v>
      </c>
      <c r="AH46">
        <f ca="1">IFERROR(IF(0=LEN(ReferenceData!$AH$46),"",ReferenceData!$AH$46),"")</f>
        <v>1923350.078</v>
      </c>
      <c r="AI46">
        <f ca="1">IFERROR(IF(0=LEN(ReferenceData!$AI$46),"",ReferenceData!$AI$46),"")</f>
        <v>1928129.7179999994</v>
      </c>
      <c r="AJ46">
        <f ca="1">IFERROR(IF(0=LEN(ReferenceData!$AJ$46),"",ReferenceData!$AJ$46),"")</f>
        <v>1915609.1589999998</v>
      </c>
      <c r="AK46">
        <f ca="1">IFERROR(IF(0=LEN(ReferenceData!$AK$46),"",ReferenceData!$AK$46),"")</f>
        <v>1918924.078</v>
      </c>
      <c r="AL46">
        <f ca="1">IFERROR(IF(0=LEN(ReferenceData!$AL$46),"",ReferenceData!$AL$46),"")</f>
        <v>1930040.8949999998</v>
      </c>
      <c r="AM46">
        <f ca="1">IFERROR(IF(0=LEN(ReferenceData!$AM$46),"",ReferenceData!$AM$46),"")</f>
        <v>1902925.2609999999</v>
      </c>
      <c r="AN46">
        <f ca="1">IFERROR(IF(0=LEN(ReferenceData!$AN$46),"",ReferenceData!$AN$46),"")</f>
        <v>1828865.0720000002</v>
      </c>
      <c r="AO46">
        <f ca="1">IFERROR(IF(0=LEN(ReferenceData!$AO$46),"",ReferenceData!$AO$46),"")</f>
        <v>1800237.0569999998</v>
      </c>
      <c r="AP46">
        <f ca="1">IFERROR(IF(0=LEN(ReferenceData!$AP$46),"",ReferenceData!$AP$46),"")</f>
        <v>1805765.949</v>
      </c>
      <c r="AQ46">
        <f ca="1">IFERROR(IF(0=LEN(ReferenceData!$AQ$46),"",ReferenceData!$AQ$46),"")</f>
        <v>1785497.0779999997</v>
      </c>
      <c r="AR46">
        <f ca="1">IFERROR(IF(0=LEN(ReferenceData!$AR$46),"",ReferenceData!$AR$46),"")</f>
        <v>1762420.3190000001</v>
      </c>
      <c r="AS46">
        <f ca="1">IFERROR(IF(0=LEN(ReferenceData!$AS$46),"",ReferenceData!$AS$46),"")</f>
        <v>1741122.5350000001</v>
      </c>
      <c r="AT46">
        <f ca="1">IFERROR(IF(0=LEN(ReferenceData!$AT$46),"",ReferenceData!$AT$46),"")</f>
        <v>1732236.787</v>
      </c>
      <c r="AU46">
        <f ca="1">IFERROR(IF(0=LEN(ReferenceData!$AU$46),"",ReferenceData!$AU$46),"")</f>
        <v>1701352.7419999994</v>
      </c>
      <c r="AV46">
        <f ca="1">IFERROR(IF(0=LEN(ReferenceData!$AV$46),"",ReferenceData!$AV$46),"")</f>
        <v>1655986.2890000001</v>
      </c>
      <c r="AW46">
        <f ca="1">IFERROR(IF(0=LEN(ReferenceData!$AW$46),"",ReferenceData!$AW$46),"")</f>
        <v>1610004.3450000002</v>
      </c>
      <c r="AX46">
        <f ca="1">IFERROR(IF(0=LEN(ReferenceData!$AX$46),"",ReferenceData!$AX$46),"")</f>
        <v>1574893.6489999997</v>
      </c>
      <c r="AY46">
        <f ca="1">IFERROR(IF(0=LEN(ReferenceData!$AY$46),"",ReferenceData!$AY$46),"")</f>
        <v>1550187.6910000001</v>
      </c>
      <c r="AZ46">
        <f ca="1">IFERROR(IF(0=LEN(ReferenceData!$AZ$46),"",ReferenceData!$AZ$46),"")</f>
        <v>1533091.1339999996</v>
      </c>
      <c r="BA46">
        <f ca="1">IFERROR(IF(0=LEN(ReferenceData!$BA$46),"",ReferenceData!$BA$46),"")</f>
        <v>1569949.2240000006</v>
      </c>
      <c r="BB46">
        <f ca="1">IFERROR(IF(0=LEN(ReferenceData!$BB$46),"",ReferenceData!$BB$46),"")</f>
        <v>1597003.0919999997</v>
      </c>
      <c r="BC46">
        <f ca="1">IFERROR(IF(0=LEN(ReferenceData!$BC$46),"",ReferenceData!$BC$46),"")</f>
        <v>1578840.0510000002</v>
      </c>
      <c r="BD46">
        <f ca="1">IFERROR(IF(0=LEN(ReferenceData!$BD$46),"",ReferenceData!$BD$46),"")</f>
        <v>1556905.8959999997</v>
      </c>
      <c r="BE46">
        <f ca="1">IFERROR(IF(0=LEN(ReferenceData!$BE$46),"",ReferenceData!$BE$46),"")</f>
        <v>1584585.8540000001</v>
      </c>
      <c r="BF46">
        <f ca="1">IFERROR(IF(0=LEN(ReferenceData!$BF$46),"",ReferenceData!$BF$46),"")</f>
        <v>1508725.8300000003</v>
      </c>
      <c r="BG46">
        <f ca="1">IFERROR(IF(0=LEN(ReferenceData!$BG$46),"",ReferenceData!$BG$46),"")</f>
        <v>1493107.2279999999</v>
      </c>
      <c r="BH46">
        <f ca="1">IFERROR(IF(0=LEN(ReferenceData!$BH$46),"",ReferenceData!$BH$46),"")</f>
        <v>1457464.8399999996</v>
      </c>
      <c r="BI46">
        <f ca="1">IFERROR(IF(0=LEN(ReferenceData!$BI$46),"",ReferenceData!$BI$46),"")</f>
        <v>1467799.3509999993</v>
      </c>
      <c r="BJ46">
        <f ca="1">IFERROR(IF(0=LEN(ReferenceData!$BJ$46),"",ReferenceData!$BJ$46),"")</f>
        <v>1448762.8120000004</v>
      </c>
      <c r="BK46">
        <f ca="1">IFERROR(IF(0=LEN(ReferenceData!$BK$46),"",ReferenceData!$BK$46),"")</f>
        <v>1477415.8970000001</v>
      </c>
      <c r="BL46">
        <f ca="1">IFERROR(IF(0=LEN(ReferenceData!$BL$46),"",ReferenceData!$BL$46),"")</f>
        <v>1373419.8039999998</v>
      </c>
      <c r="BM46">
        <f ca="1">IFERROR(IF(0=LEN(ReferenceData!$BM$46),"",ReferenceData!$BM$46),"")</f>
        <v>88236.451000000001</v>
      </c>
    </row>
    <row r="47" spans="1:65" x14ac:dyDescent="0.25">
      <c r="A47" t="str">
        <f>IFERROR(IF(0=LEN(ReferenceData!$A$47),"",ReferenceData!$A$47),"")</f>
        <v xml:space="preserve">                Bank of America Corp</v>
      </c>
      <c r="B47" t="str">
        <f>IFERROR(IF(0=LEN(ReferenceData!$B$47),"",ReferenceData!$B$47),"")</f>
        <v>BAC US Equity</v>
      </c>
      <c r="C47" t="str">
        <f>IFERROR(IF(0=LEN(ReferenceData!$C$47),"",ReferenceData!$C$47),"")</f>
        <v>FC023</v>
      </c>
      <c r="D47" t="str">
        <f>IFERROR(IF(0=LEN(ReferenceData!$D$47),"",ReferenceData!$D$47),"")</f>
        <v>FDIC_TOTAL_SECURITIES</v>
      </c>
      <c r="E47" t="str">
        <f>IFERROR(IF(0=LEN(ReferenceData!$E$47),"",ReferenceData!$E$47),"")</f>
        <v>Dynamic</v>
      </c>
      <c r="F47">
        <f ca="1">IFERROR(IF(0=LEN(ReferenceData!$F$47),"",ReferenceData!$F$47),"")</f>
        <v>905145</v>
      </c>
      <c r="G47">
        <f ca="1">IFERROR(IF(0=LEN(ReferenceData!$G$47),"",ReferenceData!$G$47),"")</f>
        <v>883308</v>
      </c>
      <c r="H47">
        <f ca="1">IFERROR(IF(0=LEN(ReferenceData!$H$47),"",ReferenceData!$H$47),"")</f>
        <v>868697</v>
      </c>
      <c r="I47">
        <f ca="1">IFERROR(IF(0=LEN(ReferenceData!$I$47),"",ReferenceData!$I$47),"")</f>
        <v>899971</v>
      </c>
      <c r="J47">
        <f ca="1">IFERROR(IF(0=LEN(ReferenceData!$J$47),"",ReferenceData!$J$47),"")</f>
        <v>861240</v>
      </c>
      <c r="K47">
        <f ca="1">IFERROR(IF(0=LEN(ReferenceData!$K$47),"",ReferenceData!$K$47),"")</f>
        <v>768975</v>
      </c>
      <c r="L47">
        <f ca="1">IFERROR(IF(0=LEN(ReferenceData!$L$47),"",ReferenceData!$L$47),"")</f>
        <v>746154</v>
      </c>
      <c r="M47">
        <f ca="1">IFERROR(IF(0=LEN(ReferenceData!$M$47),"",ReferenceData!$M$47),"")</f>
        <v>786938</v>
      </c>
      <c r="N47">
        <f ca="1">IFERROR(IF(0=LEN(ReferenceData!$N$47),"",ReferenceData!$N$47),"")</f>
        <v>853651</v>
      </c>
      <c r="O47">
        <f ca="1">IFERROR(IF(0=LEN(ReferenceData!$O$47),"",ReferenceData!$O$47),"")</f>
        <v>870083</v>
      </c>
      <c r="P47">
        <f ca="1">IFERROR(IF(0=LEN(ReferenceData!$P$47),"",ReferenceData!$P$47),"")</f>
        <v>924538</v>
      </c>
      <c r="Q47">
        <f ca="1">IFERROR(IF(0=LEN(ReferenceData!$Q$47),"",ReferenceData!$Q$47),"")</f>
        <v>961505</v>
      </c>
      <c r="R47">
        <f ca="1">IFERROR(IF(0=LEN(ReferenceData!$R$47),"",ReferenceData!$R$47),"")</f>
        <v>973769</v>
      </c>
      <c r="S47">
        <f ca="1">IFERROR(IF(0=LEN(ReferenceData!$S$47),"",ReferenceData!$S$47),"")</f>
        <v>958631</v>
      </c>
      <c r="T47">
        <f ca="1">IFERROR(IF(0=LEN(ReferenceData!$T$47),"",ReferenceData!$T$47),"")</f>
        <v>929613</v>
      </c>
      <c r="U47">
        <f ca="1">IFERROR(IF(0=LEN(ReferenceData!$U$47),"",ReferenceData!$U$47),"")</f>
        <v>846645</v>
      </c>
      <c r="V47">
        <f ca="1">IFERROR(IF(0=LEN(ReferenceData!$V$47),"",ReferenceData!$V$47),"")</f>
        <v>672770</v>
      </c>
      <c r="W47">
        <f ca="1">IFERROR(IF(0=LEN(ReferenceData!$W$47),"",ReferenceData!$W$47),"")</f>
        <v>572111</v>
      </c>
      <c r="X47">
        <f ca="1">IFERROR(IF(0=LEN(ReferenceData!$X$47),"",ReferenceData!$X$47),"")</f>
        <v>459399</v>
      </c>
      <c r="Y47">
        <f ca="1">IFERROR(IF(0=LEN(ReferenceData!$Y$47),"",ReferenceData!$Y$47),"")</f>
        <v>460985</v>
      </c>
      <c r="Z47">
        <f ca="1">IFERROR(IF(0=LEN(ReferenceData!$Z$47),"",ReferenceData!$Z$47),"")</f>
        <v>461369</v>
      </c>
      <c r="AA47">
        <f ca="1">IFERROR(IF(0=LEN(ReferenceData!$AA$47),"",ReferenceData!$AA$47),"")</f>
        <v>435124</v>
      </c>
      <c r="AB47">
        <f ca="1">IFERROR(IF(0=LEN(ReferenceData!$AB$47),"",ReferenceData!$AB$47),"")</f>
        <v>435960</v>
      </c>
      <c r="AC47">
        <f ca="1">IFERROR(IF(0=LEN(ReferenceData!$AC$47),"",ReferenceData!$AC$47),"")</f>
        <v>430330</v>
      </c>
      <c r="AD47">
        <f ca="1">IFERROR(IF(0=LEN(ReferenceData!$AD$47),"",ReferenceData!$AD$47),"")</f>
        <v>433018</v>
      </c>
      <c r="AE47">
        <f ca="1">IFERROR(IF(0=LEN(ReferenceData!$AE$47),"",ReferenceData!$AE$47),"")</f>
        <v>433520</v>
      </c>
      <c r="AF47">
        <f ca="1">IFERROR(IF(0=LEN(ReferenceData!$AF$47),"",ReferenceData!$AF$47),"")</f>
        <v>425132</v>
      </c>
      <c r="AG47">
        <f ca="1">IFERROR(IF(0=LEN(ReferenceData!$AG$47),"",ReferenceData!$AG$47),"")</f>
        <v>413899</v>
      </c>
      <c r="AH47">
        <f ca="1">IFERROR(IF(0=LEN(ReferenceData!$AH$47),"",ReferenceData!$AH$47),"")</f>
        <v>429902</v>
      </c>
      <c r="AI47">
        <f ca="1">IFERROR(IF(0=LEN(ReferenceData!$AI$47),"",ReferenceData!$AI$47),"")</f>
        <v>423778</v>
      </c>
      <c r="AJ47">
        <f ca="1">IFERROR(IF(0=LEN(ReferenceData!$AJ$47),"",ReferenceData!$AJ$47),"")</f>
        <v>420195</v>
      </c>
      <c r="AK47">
        <f ca="1">IFERROR(IF(0=LEN(ReferenceData!$AK$47),"",ReferenceData!$AK$47),"")</f>
        <v>413772</v>
      </c>
      <c r="AL47">
        <f ca="1">IFERROR(IF(0=LEN(ReferenceData!$AL$47),"",ReferenceData!$AL$47),"")</f>
        <v>413448</v>
      </c>
      <c r="AM47">
        <f ca="1">IFERROR(IF(0=LEN(ReferenceData!$AM$47),"",ReferenceData!$AM$47),"")</f>
        <v>415438</v>
      </c>
      <c r="AN47">
        <f ca="1">IFERROR(IF(0=LEN(ReferenceData!$AN$47),"",ReferenceData!$AN$47),"")</f>
        <v>392814</v>
      </c>
      <c r="AO47">
        <f ca="1">IFERROR(IF(0=LEN(ReferenceData!$AO$47),"",ReferenceData!$AO$47),"")</f>
        <v>383216</v>
      </c>
      <c r="AP47">
        <f ca="1">IFERROR(IF(0=LEN(ReferenceData!$AP$47),"",ReferenceData!$AP$47),"")</f>
        <v>391760</v>
      </c>
      <c r="AQ47">
        <f ca="1">IFERROR(IF(0=LEN(ReferenceData!$AQ$47),"",ReferenceData!$AQ$47),"")</f>
        <v>365598</v>
      </c>
      <c r="AR47">
        <f ca="1">IFERROR(IF(0=LEN(ReferenceData!$AR$47),"",ReferenceData!$AR$47),"")</f>
        <v>358543</v>
      </c>
      <c r="AS47">
        <f ca="1">IFERROR(IF(0=LEN(ReferenceData!$AS$47),"",ReferenceData!$AS$47),"")</f>
        <v>349939</v>
      </c>
      <c r="AT47">
        <f ca="1">IFERROR(IF(0=LEN(ReferenceData!$AT$47),"",ReferenceData!$AT$47),"")</f>
        <v>345799</v>
      </c>
      <c r="AU47">
        <f ca="1">IFERROR(IF(0=LEN(ReferenceData!$AU$47),"",ReferenceData!$AU$47),"")</f>
        <v>328168</v>
      </c>
      <c r="AV47">
        <f ca="1">IFERROR(IF(0=LEN(ReferenceData!$AV$47),"",ReferenceData!$AV$47),"")</f>
        <v>312561</v>
      </c>
      <c r="AW47">
        <f ca="1">IFERROR(IF(0=LEN(ReferenceData!$AW$47),"",ReferenceData!$AW$47),"")</f>
        <v>307532</v>
      </c>
      <c r="AX47">
        <f ca="1">IFERROR(IF(0=LEN(ReferenceData!$AX$47),"",ReferenceData!$AX$47),"")</f>
        <v>293403</v>
      </c>
      <c r="AY47">
        <f ca="1">IFERROR(IF(0=LEN(ReferenceData!$AY$47),"",ReferenceData!$AY$47),"")</f>
        <v>292113</v>
      </c>
      <c r="AZ47">
        <f ca="1">IFERROR(IF(0=LEN(ReferenceData!$AZ$47),"",ReferenceData!$AZ$47),"")</f>
        <v>298149</v>
      </c>
      <c r="BA47">
        <f ca="1">IFERROR(IF(0=LEN(ReferenceData!$BA$47),"",ReferenceData!$BA$47),"")</f>
        <v>315872</v>
      </c>
      <c r="BB47">
        <f ca="1">IFERROR(IF(0=LEN(ReferenceData!$BB$47),"",ReferenceData!$BB$47),"")</f>
        <v>341111.05300000001</v>
      </c>
      <c r="BC47">
        <f ca="1">IFERROR(IF(0=LEN(ReferenceData!$BC$47),"",ReferenceData!$BC$47),"")</f>
        <v>351167.05800000002</v>
      </c>
      <c r="BD47">
        <f ca="1">IFERROR(IF(0=LEN(ReferenceData!$BD$47),"",ReferenceData!$BD$47),"")</f>
        <v>340434.59499999997</v>
      </c>
      <c r="BE47">
        <f ca="1">IFERROR(IF(0=LEN(ReferenceData!$BE$47),"",ReferenceData!$BE$47),"")</f>
        <v>336343.68599999999</v>
      </c>
      <c r="BF47">
        <f ca="1">IFERROR(IF(0=LEN(ReferenceData!$BF$47),"",ReferenceData!$BF$47),"")</f>
        <v>323163.19699999999</v>
      </c>
      <c r="BG47">
        <f ca="1">IFERROR(IF(0=LEN(ReferenceData!$BG$47),"",ReferenceData!$BG$47),"")</f>
        <v>359901.06699999998</v>
      </c>
      <c r="BH47">
        <f ca="1">IFERROR(IF(0=LEN(ReferenceData!$BH$47),"",ReferenceData!$BH$47),"")</f>
        <v>351463.11200000002</v>
      </c>
      <c r="BI47">
        <f ca="1">IFERROR(IF(0=LEN(ReferenceData!$BI$47),"",ReferenceData!$BI$47),"")</f>
        <v>352800.7</v>
      </c>
      <c r="BJ47">
        <f ca="1">IFERROR(IF(0=LEN(ReferenceData!$BJ$47),"",ReferenceData!$BJ$47),"")</f>
        <v>360815.92200000002</v>
      </c>
      <c r="BK47">
        <f ca="1">IFERROR(IF(0=LEN(ReferenceData!$BK$47),"",ReferenceData!$BK$47),"")</f>
        <v>345242.201</v>
      </c>
      <c r="BL47">
        <f ca="1">IFERROR(IF(0=LEN(ReferenceData!$BL$47),"",ReferenceData!$BL$47),"")</f>
        <v>319691.511</v>
      </c>
      <c r="BM47" t="str">
        <f ca="1">IFERROR(IF(0=LEN(ReferenceData!$BM$47),"",ReferenceData!$BM$47),"")</f>
        <v/>
      </c>
    </row>
    <row r="48" spans="1:65" x14ac:dyDescent="0.25">
      <c r="A48" t="str">
        <f>IFERROR(IF(0=LEN(ReferenceData!$A$48),"",ReferenceData!$A$48),"")</f>
        <v xml:space="preserve">                Citigroup Inc</v>
      </c>
      <c r="B48" t="str">
        <f>IFERROR(IF(0=LEN(ReferenceData!$B$48),"",ReferenceData!$B$48),"")</f>
        <v>C US Equity</v>
      </c>
      <c r="C48" t="str">
        <f>IFERROR(IF(0=LEN(ReferenceData!$C$48),"",ReferenceData!$C$48),"")</f>
        <v>FC023</v>
      </c>
      <c r="D48" t="str">
        <f>IFERROR(IF(0=LEN(ReferenceData!$D$48),"",ReferenceData!$D$48),"")</f>
        <v>FDIC_TOTAL_SECURITIES</v>
      </c>
      <c r="E48" t="str">
        <f>IFERROR(IF(0=LEN(ReferenceData!$E$48),"",ReferenceData!$E$48),"")</f>
        <v>Dynamic</v>
      </c>
      <c r="F48">
        <f ca="1">IFERROR(IF(0=LEN(ReferenceData!$F$48),"",ReferenceData!$F$48),"")</f>
        <v>465508</v>
      </c>
      <c r="G48">
        <f ca="1">IFERROR(IF(0=LEN(ReferenceData!$G$48),"",ReferenceData!$G$48),"")</f>
        <v>478511</v>
      </c>
      <c r="H48">
        <f ca="1">IFERROR(IF(0=LEN(ReferenceData!$H$48),"",ReferenceData!$H$48),"")</f>
        <v>495274</v>
      </c>
      <c r="I48">
        <f ca="1">IFERROR(IF(0=LEN(ReferenceData!$I$48),"",ReferenceData!$I$48),"")</f>
        <v>501713</v>
      </c>
      <c r="J48">
        <f ca="1">IFERROR(IF(0=LEN(ReferenceData!$J$48),"",ReferenceData!$J$48),"")</f>
        <v>504540</v>
      </c>
      <c r="K48">
        <f ca="1">IFERROR(IF(0=LEN(ReferenceData!$K$48),"",ReferenceData!$K$48),"")</f>
        <v>494484</v>
      </c>
      <c r="L48">
        <f ca="1">IFERROR(IF(0=LEN(ReferenceData!$L$48),"",ReferenceData!$L$48),"")</f>
        <v>493404</v>
      </c>
      <c r="M48">
        <f ca="1">IFERROR(IF(0=LEN(ReferenceData!$M$48),"",ReferenceData!$M$48),"")</f>
        <v>499775</v>
      </c>
      <c r="N48">
        <f ca="1">IFERROR(IF(0=LEN(ReferenceData!$N$48),"",ReferenceData!$N$48),"")</f>
        <v>514469</v>
      </c>
      <c r="O48">
        <f ca="1">IFERROR(IF(0=LEN(ReferenceData!$O$48),"",ReferenceData!$O$48),"")</f>
        <v>496366</v>
      </c>
      <c r="P48">
        <f ca="1">IFERROR(IF(0=LEN(ReferenceData!$P$48),"",ReferenceData!$P$48),"")</f>
        <v>501261</v>
      </c>
      <c r="Q48">
        <f ca="1">IFERROR(IF(0=LEN(ReferenceData!$Q$48),"",ReferenceData!$Q$48),"")</f>
        <v>502719</v>
      </c>
      <c r="R48">
        <f ca="1">IFERROR(IF(0=LEN(ReferenceData!$R$48),"",ReferenceData!$R$48),"")</f>
        <v>500695</v>
      </c>
      <c r="S48">
        <f ca="1">IFERROR(IF(0=LEN(ReferenceData!$S$48),"",ReferenceData!$S$48),"")</f>
        <v>488438</v>
      </c>
      <c r="T48">
        <f ca="1">IFERROR(IF(0=LEN(ReferenceData!$T$48),"",ReferenceData!$T$48),"")</f>
        <v>474140</v>
      </c>
      <c r="U48">
        <f ca="1">IFERROR(IF(0=LEN(ReferenceData!$U$48),"",ReferenceData!$U$48),"")</f>
        <v>461100</v>
      </c>
      <c r="V48">
        <f ca="1">IFERROR(IF(0=LEN(ReferenceData!$V$48),"",ReferenceData!$V$48),"")</f>
        <v>435247</v>
      </c>
      <c r="W48">
        <f ca="1">IFERROR(IF(0=LEN(ReferenceData!$W$48),"",ReferenceData!$W$48),"")</f>
        <v>435324</v>
      </c>
      <c r="X48">
        <f ca="1">IFERROR(IF(0=LEN(ReferenceData!$X$48),"",ReferenceData!$X$48),"")</f>
        <v>421075</v>
      </c>
      <c r="Y48">
        <f ca="1">IFERROR(IF(0=LEN(ReferenceData!$Y$48),"",ReferenceData!$Y$48),"")</f>
        <v>386541</v>
      </c>
      <c r="Z48">
        <f ca="1">IFERROR(IF(0=LEN(ReferenceData!$Z$48),"",ReferenceData!$Z$48),"")</f>
        <v>356598</v>
      </c>
      <c r="AA48">
        <f ca="1">IFERROR(IF(0=LEN(ReferenceData!$AA$48),"",ReferenceData!$AA$48),"")</f>
        <v>347360</v>
      </c>
      <c r="AB48">
        <f ca="1">IFERROR(IF(0=LEN(ReferenceData!$AB$48),"",ReferenceData!$AB$48),"")</f>
        <v>337939</v>
      </c>
      <c r="AC48">
        <f ca="1">IFERROR(IF(0=LEN(ReferenceData!$AC$48),"",ReferenceData!$AC$48),"")</f>
        <v>338302</v>
      </c>
      <c r="AD48">
        <f ca="1">IFERROR(IF(0=LEN(ReferenceData!$AD$48),"",ReferenceData!$AD$48),"")</f>
        <v>347423</v>
      </c>
      <c r="AE48">
        <f ca="1">IFERROR(IF(0=LEN(ReferenceData!$AE$48),"",ReferenceData!$AE$48),"")</f>
        <v>334116</v>
      </c>
      <c r="AF48">
        <f ca="1">IFERROR(IF(0=LEN(ReferenceData!$AF$48),"",ReferenceData!$AF$48),"")</f>
        <v>338342</v>
      </c>
      <c r="AG48">
        <f ca="1">IFERROR(IF(0=LEN(ReferenceData!$AG$48),"",ReferenceData!$AG$48),"")</f>
        <v>343850</v>
      </c>
      <c r="AH48">
        <f ca="1">IFERROR(IF(0=LEN(ReferenceData!$AH$48),"",ReferenceData!$AH$48),"")</f>
        <v>343936</v>
      </c>
      <c r="AI48">
        <f ca="1">IFERROR(IF(0=LEN(ReferenceData!$AI$48),"",ReferenceData!$AI$48),"")</f>
        <v>346504</v>
      </c>
      <c r="AJ48">
        <f ca="1">IFERROR(IF(0=LEN(ReferenceData!$AJ$48),"",ReferenceData!$AJ$48),"")</f>
        <v>343534</v>
      </c>
      <c r="AK48">
        <f ca="1">IFERROR(IF(0=LEN(ReferenceData!$AK$48),"",ReferenceData!$AK$48),"")</f>
        <v>337924</v>
      </c>
      <c r="AL48">
        <f ca="1">IFERROR(IF(0=LEN(ReferenceData!$AL$48),"",ReferenceData!$AL$48),"")</f>
        <v>344835</v>
      </c>
      <c r="AM48">
        <f ca="1">IFERROR(IF(0=LEN(ReferenceData!$AM$48),"",ReferenceData!$AM$48),"")</f>
        <v>346121</v>
      </c>
      <c r="AN48">
        <f ca="1">IFERROR(IF(0=LEN(ReferenceData!$AN$48),"",ReferenceData!$AN$48),"")</f>
        <v>348144</v>
      </c>
      <c r="AO48">
        <f ca="1">IFERROR(IF(0=LEN(ReferenceData!$AO$48),"",ReferenceData!$AO$48),"")</f>
        <v>345133</v>
      </c>
      <c r="AP48">
        <f ca="1">IFERROR(IF(0=LEN(ReferenceData!$AP$48),"",ReferenceData!$AP$48),"")</f>
        <v>335351</v>
      </c>
      <c r="AQ48">
        <f ca="1">IFERROR(IF(0=LEN(ReferenceData!$AQ$48),"",ReferenceData!$AQ$48),"")</f>
        <v>336057</v>
      </c>
      <c r="AR48">
        <f ca="1">IFERROR(IF(0=LEN(ReferenceData!$AR$48),"",ReferenceData!$AR$48),"")</f>
        <v>325736</v>
      </c>
      <c r="AS48">
        <f ca="1">IFERROR(IF(0=LEN(ReferenceData!$AS$48),"",ReferenceData!$AS$48),"")</f>
        <v>319990</v>
      </c>
      <c r="AT48">
        <f ca="1">IFERROR(IF(0=LEN(ReferenceData!$AT$48),"",ReferenceData!$AT$48),"")</f>
        <v>324064</v>
      </c>
      <c r="AU48">
        <f ca="1">IFERROR(IF(0=LEN(ReferenceData!$AU$48),"",ReferenceData!$AU$48),"")</f>
        <v>322716</v>
      </c>
      <c r="AV48">
        <f ca="1">IFERROR(IF(0=LEN(ReferenceData!$AV$48),"",ReferenceData!$AV$48),"")</f>
        <v>314908</v>
      </c>
      <c r="AW48">
        <f ca="1">IFERROR(IF(0=LEN(ReferenceData!$AW$48),"",ReferenceData!$AW$48),"")</f>
        <v>301537</v>
      </c>
      <c r="AX48">
        <f ca="1">IFERROR(IF(0=LEN(ReferenceData!$AX$48),"",ReferenceData!$AX$48),"")</f>
        <v>297110</v>
      </c>
      <c r="AY48">
        <f ca="1">IFERROR(IF(0=LEN(ReferenceData!$AY$48),"",ReferenceData!$AY$48),"")</f>
        <v>290685</v>
      </c>
      <c r="AZ48">
        <f ca="1">IFERROR(IF(0=LEN(ReferenceData!$AZ$48),"",ReferenceData!$AZ$48),"")</f>
        <v>286980</v>
      </c>
      <c r="BA48">
        <f ca="1">IFERROR(IF(0=LEN(ReferenceData!$BA$48),"",ReferenceData!$BA$48),"")</f>
        <v>291805</v>
      </c>
      <c r="BB48">
        <f ca="1">IFERROR(IF(0=LEN(ReferenceData!$BB$48),"",ReferenceData!$BB$48),"")</f>
        <v>298825</v>
      </c>
      <c r="BC48">
        <f ca="1">IFERROR(IF(0=LEN(ReferenceData!$BC$48),"",ReferenceData!$BC$48),"")</f>
        <v>282204</v>
      </c>
      <c r="BD48">
        <f ca="1">IFERROR(IF(0=LEN(ReferenceData!$BD$48),"",ReferenceData!$BD$48),"")</f>
        <v>290935</v>
      </c>
      <c r="BE48">
        <f ca="1">IFERROR(IF(0=LEN(ReferenceData!$BE$48),"",ReferenceData!$BE$48),"")</f>
        <v>280709</v>
      </c>
      <c r="BF48">
        <f ca="1">IFERROR(IF(0=LEN(ReferenceData!$BF$48),"",ReferenceData!$BF$48),"")</f>
        <v>276687</v>
      </c>
      <c r="BG48">
        <f ca="1">IFERROR(IF(0=LEN(ReferenceData!$BG$48),"",ReferenceData!$BG$48),"")</f>
        <v>271227</v>
      </c>
      <c r="BH48">
        <f ca="1">IFERROR(IF(0=LEN(ReferenceData!$BH$48),"",ReferenceData!$BH$48),"")</f>
        <v>292741</v>
      </c>
      <c r="BI48">
        <f ca="1">IFERROR(IF(0=LEN(ReferenceData!$BI$48),"",ReferenceData!$BI$48),"")</f>
        <v>310122</v>
      </c>
      <c r="BJ48">
        <f ca="1">IFERROR(IF(0=LEN(ReferenceData!$BJ$48),"",ReferenceData!$BJ$48),"")</f>
        <v>303529</v>
      </c>
      <c r="BK48">
        <f ca="1">IFERROR(IF(0=LEN(ReferenceData!$BK$48),"",ReferenceData!$BK$48),"")</f>
        <v>326634</v>
      </c>
      <c r="BL48">
        <f ca="1">IFERROR(IF(0=LEN(ReferenceData!$BL$48),"",ReferenceData!$BL$48),"")</f>
        <v>301870</v>
      </c>
      <c r="BM48" t="str">
        <f ca="1">IFERROR(IF(0=LEN(ReferenceData!$BM$48),"",ReferenceData!$BM$48),"")</f>
        <v/>
      </c>
    </row>
    <row r="49" spans="1:65" x14ac:dyDescent="0.25">
      <c r="A49" t="str">
        <f>IFERROR(IF(0=LEN(ReferenceData!$A$49),"",ReferenceData!$A$49),"")</f>
        <v xml:space="preserve">                Citizens Financial Group Inc</v>
      </c>
      <c r="B49" t="str">
        <f>IFERROR(IF(0=LEN(ReferenceData!$B$49),"",ReferenceData!$B$49),"")</f>
        <v>CFG US Equity</v>
      </c>
      <c r="C49" t="str">
        <f>IFERROR(IF(0=LEN(ReferenceData!$C$49),"",ReferenceData!$C$49),"")</f>
        <v>FC023</v>
      </c>
      <c r="D49" t="str">
        <f>IFERROR(IF(0=LEN(ReferenceData!$D$49),"",ReferenceData!$D$49),"")</f>
        <v>FDIC_TOTAL_SECURITIES</v>
      </c>
      <c r="E49" t="str">
        <f>IFERROR(IF(0=LEN(ReferenceData!$E$49),"",ReferenceData!$E$49),"")</f>
        <v>Dynamic</v>
      </c>
      <c r="F49">
        <f ca="1">IFERROR(IF(0=LEN(ReferenceData!$F$49),"",ReferenceData!$F$49),"")</f>
        <v>41363.311999999998</v>
      </c>
      <c r="G49">
        <f ca="1">IFERROR(IF(0=LEN(ReferenceData!$G$49),"",ReferenceData!$G$49),"")</f>
        <v>41572.173999999999</v>
      </c>
      <c r="H49">
        <f ca="1">IFERROR(IF(0=LEN(ReferenceData!$H$49),"",ReferenceData!$H$49),"")</f>
        <v>40832.866000000002</v>
      </c>
      <c r="I49">
        <f ca="1">IFERROR(IF(0=LEN(ReferenceData!$I$49),"",ReferenceData!$I$49),"")</f>
        <v>40240.652999999998</v>
      </c>
      <c r="J49">
        <f ca="1">IFERROR(IF(0=LEN(ReferenceData!$J$49),"",ReferenceData!$J$49),"")</f>
        <v>38961.627999999997</v>
      </c>
      <c r="K49">
        <f ca="1">IFERROR(IF(0=LEN(ReferenceData!$K$49),"",ReferenceData!$K$49),"")</f>
        <v>34388.171999999999</v>
      </c>
      <c r="L49">
        <f ca="1">IFERROR(IF(0=LEN(ReferenceData!$L$49),"",ReferenceData!$L$49),"")</f>
        <v>34274.574999999997</v>
      </c>
      <c r="M49">
        <f ca="1">IFERROR(IF(0=LEN(ReferenceData!$M$49),"",ReferenceData!$M$49),"")</f>
        <v>33521.599000000002</v>
      </c>
      <c r="N49">
        <f ca="1">IFERROR(IF(0=LEN(ReferenceData!$N$49),"",ReferenceData!$N$49),"")</f>
        <v>33841.078999999998</v>
      </c>
      <c r="O49">
        <f ca="1">IFERROR(IF(0=LEN(ReferenceData!$O$49),"",ReferenceData!$O$49),"")</f>
        <v>33548.241999999998</v>
      </c>
      <c r="P49">
        <f ca="1">IFERROR(IF(0=LEN(ReferenceData!$P$49),"",ReferenceData!$P$49),"")</f>
        <v>34528.714</v>
      </c>
      <c r="Q49">
        <f ca="1">IFERROR(IF(0=LEN(ReferenceData!$Q$49),"",ReferenceData!$Q$49),"")</f>
        <v>27374.429</v>
      </c>
      <c r="R49">
        <f ca="1">IFERROR(IF(0=LEN(ReferenceData!$R$49),"",ReferenceData!$R$49),"")</f>
        <v>28309.072</v>
      </c>
      <c r="S49">
        <f ca="1">IFERROR(IF(0=LEN(ReferenceData!$S$49),"",ReferenceData!$S$49),"")</f>
        <v>27402.473000000002</v>
      </c>
      <c r="T49">
        <f ca="1">IFERROR(IF(0=LEN(ReferenceData!$T$49),"",ReferenceData!$T$49),"")</f>
        <v>27294.022000000001</v>
      </c>
      <c r="U49">
        <f ca="1">IFERROR(IF(0=LEN(ReferenceData!$U$49),"",ReferenceData!$U$49),"")</f>
        <v>27461.325000000001</v>
      </c>
      <c r="V49">
        <f ca="1">IFERROR(IF(0=LEN(ReferenceData!$V$49),"",ReferenceData!$V$49),"")</f>
        <v>26176.912</v>
      </c>
      <c r="W49">
        <f ca="1">IFERROR(IF(0=LEN(ReferenceData!$W$49),"",ReferenceData!$W$49),"")</f>
        <v>25461.918000000001</v>
      </c>
      <c r="X49">
        <f ca="1">IFERROR(IF(0=LEN(ReferenceData!$X$49),"",ReferenceData!$X$49),"")</f>
        <v>24999.234</v>
      </c>
      <c r="Y49">
        <f ca="1">IFERROR(IF(0=LEN(ReferenceData!$Y$49),"",ReferenceData!$Y$49),"")</f>
        <v>25378.565999999999</v>
      </c>
      <c r="Z49">
        <f ca="1">IFERROR(IF(0=LEN(ReferenceData!$Z$49),"",ReferenceData!$Z$49),"")</f>
        <v>23814.393</v>
      </c>
      <c r="AA49">
        <f ca="1">IFERROR(IF(0=LEN(ReferenceData!$AA$49),"",ReferenceData!$AA$49),"")</f>
        <v>24821.269</v>
      </c>
      <c r="AB49">
        <f ca="1">IFERROR(IF(0=LEN(ReferenceData!$AB$49),"",ReferenceData!$AB$49),"")</f>
        <v>25144.633000000002</v>
      </c>
      <c r="AC49">
        <f ca="1">IFERROR(IF(0=LEN(ReferenceData!$AC$49),"",ReferenceData!$AC$49),"")</f>
        <v>24849.383999999998</v>
      </c>
      <c r="AD49">
        <f ca="1">IFERROR(IF(0=LEN(ReferenceData!$AD$49),"",ReferenceData!$AD$49),"")</f>
        <v>24059.873</v>
      </c>
      <c r="AE49">
        <f ca="1">IFERROR(IF(0=LEN(ReferenceData!$AE$49),"",ReferenceData!$AE$49),"")</f>
        <v>24436.125</v>
      </c>
      <c r="AF49">
        <f ca="1">IFERROR(IF(0=LEN(ReferenceData!$AF$49),"",ReferenceData!$AF$49),"")</f>
        <v>24573.613000000001</v>
      </c>
      <c r="AG49">
        <f ca="1">IFERROR(IF(0=LEN(ReferenceData!$AG$49),"",ReferenceData!$AG$49),"")</f>
        <v>24513.331999999999</v>
      </c>
      <c r="AH49">
        <f ca="1">IFERROR(IF(0=LEN(ReferenceData!$AH$49),"",ReferenceData!$AH$49),"")</f>
        <v>24842.077000000001</v>
      </c>
      <c r="AI49">
        <f ca="1">IFERROR(IF(0=LEN(ReferenceData!$AI$49),"",ReferenceData!$AI$49),"")</f>
        <v>24805.141</v>
      </c>
      <c r="AJ49">
        <f ca="1">IFERROR(IF(0=LEN(ReferenceData!$AJ$49),"",ReferenceData!$AJ$49),"")</f>
        <v>24224.328000000001</v>
      </c>
      <c r="AK49">
        <f ca="1">IFERROR(IF(0=LEN(ReferenceData!$AK$49),"",ReferenceData!$AK$49),"")</f>
        <v>24955.706999999999</v>
      </c>
      <c r="AL49">
        <f ca="1">IFERROR(IF(0=LEN(ReferenceData!$AL$49),"",ReferenceData!$AL$49),"")</f>
        <v>24554.921999999999</v>
      </c>
      <c r="AM49">
        <f ca="1">IFERROR(IF(0=LEN(ReferenceData!$AM$49),"",ReferenceData!$AM$49),"")</f>
        <v>24697.087</v>
      </c>
      <c r="AN49">
        <f ca="1">IFERROR(IF(0=LEN(ReferenceData!$AN$49),"",ReferenceData!$AN$49),"")</f>
        <v>23434.191999999999</v>
      </c>
      <c r="AO49">
        <f ca="1">IFERROR(IF(0=LEN(ReferenceData!$AO$49),"",ReferenceData!$AO$49),"")</f>
        <v>23075.605</v>
      </c>
      <c r="AP49">
        <f ca="1">IFERROR(IF(0=LEN(ReferenceData!$AP$49),"",ReferenceData!$AP$49),"")</f>
        <v>23124.628000000001</v>
      </c>
      <c r="AQ49">
        <f ca="1">IFERROR(IF(0=LEN(ReferenceData!$AQ$49),"",ReferenceData!$AQ$49),"")</f>
        <v>23464.305</v>
      </c>
      <c r="AR49">
        <f ca="1">IFERROR(IF(0=LEN(ReferenceData!$AR$49),"",ReferenceData!$AR$49),"")</f>
        <v>24212.543000000001</v>
      </c>
      <c r="AS49">
        <f ca="1">IFERROR(IF(0=LEN(ReferenceData!$AS$49),"",ReferenceData!$AS$49),"")</f>
        <v>24201.419000000002</v>
      </c>
      <c r="AT49">
        <f ca="1">IFERROR(IF(0=LEN(ReferenceData!$AT$49),"",ReferenceData!$AT$49),"")</f>
        <v>23786.697</v>
      </c>
      <c r="AU49">
        <f ca="1">IFERROR(IF(0=LEN(ReferenceData!$AU$49),"",ReferenceData!$AU$49),"")</f>
        <v>23938.508000000002</v>
      </c>
      <c r="AV49">
        <f ca="1">IFERROR(IF(0=LEN(ReferenceData!$AV$49),"",ReferenceData!$AV$49),"")</f>
        <v>23857.657999999999</v>
      </c>
      <c r="AW49">
        <f ca="1">IFERROR(IF(0=LEN(ReferenceData!$AW$49),"",ReferenceData!$AW$49),"")</f>
        <v>23852.205999999998</v>
      </c>
      <c r="AX49">
        <f ca="1">IFERROR(IF(0=LEN(ReferenceData!$AX$49),"",ReferenceData!$AX$49),"")</f>
        <v>20293.008000000002</v>
      </c>
      <c r="AY49">
        <f ca="1">IFERROR(IF(0=LEN(ReferenceData!$AY$49),"",ReferenceData!$AY$49),"")</f>
        <v>19871.34</v>
      </c>
      <c r="AZ49">
        <f ca="1">IFERROR(IF(0=LEN(ReferenceData!$AZ$49),"",ReferenceData!$AZ$49),"")</f>
        <v>16416.563999999998</v>
      </c>
      <c r="BA49">
        <f ca="1">IFERROR(IF(0=LEN(ReferenceData!$BA$49),"",ReferenceData!$BA$49),"")</f>
        <v>17054.381000000001</v>
      </c>
      <c r="BB49">
        <f ca="1">IFERROR(IF(0=LEN(ReferenceData!$BB$49),"",ReferenceData!$BB$49),"")</f>
        <v>18343.530999999999</v>
      </c>
      <c r="BC49">
        <f ca="1">IFERROR(IF(0=LEN(ReferenceData!$BC$49),"",ReferenceData!$BC$49),"")</f>
        <v>20256.066999999999</v>
      </c>
      <c r="BD49">
        <f ca="1">IFERROR(IF(0=LEN(ReferenceData!$BD$49),"",ReferenceData!$BD$49),"")</f>
        <v>21082.25</v>
      </c>
      <c r="BE49">
        <f ca="1">IFERROR(IF(0=LEN(ReferenceData!$BE$49),"",ReferenceData!$BE$49),"")</f>
        <v>21695.455999999998</v>
      </c>
      <c r="BF49">
        <f ca="1">IFERROR(IF(0=LEN(ReferenceData!$BF$49),"",ReferenceData!$BF$49),"")</f>
        <v>22137.342000000001</v>
      </c>
      <c r="BG49">
        <f ca="1">IFERROR(IF(0=LEN(ReferenceData!$BG$49),"",ReferenceData!$BG$49),"")</f>
        <v>20891.615000000002</v>
      </c>
      <c r="BH49">
        <f ca="1">IFERROR(IF(0=LEN(ReferenceData!$BH$49),"",ReferenceData!$BH$49),"")</f>
        <v>21776.703000000001</v>
      </c>
      <c r="BI49">
        <f ca="1">IFERROR(IF(0=LEN(ReferenceData!$BI$49),"",ReferenceData!$BI$49),"")</f>
        <v>22552.112000000001</v>
      </c>
      <c r="BJ49">
        <f ca="1">IFERROR(IF(0=LEN(ReferenceData!$BJ$49),"",ReferenceData!$BJ$49),"")</f>
        <v>20534.542000000001</v>
      </c>
      <c r="BK49">
        <f ca="1">IFERROR(IF(0=LEN(ReferenceData!$BK$49),"",ReferenceData!$BK$49),"")</f>
        <v>19260.206999999999</v>
      </c>
      <c r="BL49">
        <f ca="1">IFERROR(IF(0=LEN(ReferenceData!$BL$49),"",ReferenceData!$BL$49),"")</f>
        <v>25607.01</v>
      </c>
      <c r="BM49" t="str">
        <f ca="1">IFERROR(IF(0=LEN(ReferenceData!$BM$49),"",ReferenceData!$BM$49),"")</f>
        <v/>
      </c>
    </row>
    <row r="50" spans="1:65" x14ac:dyDescent="0.25">
      <c r="A50" t="str">
        <f>IFERROR(IF(0=LEN(ReferenceData!$A$50),"",ReferenceData!$A$50),"")</f>
        <v xml:space="preserve">                Capital One Financial Corp</v>
      </c>
      <c r="B50" t="str">
        <f>IFERROR(IF(0=LEN(ReferenceData!$B$50),"",ReferenceData!$B$50),"")</f>
        <v>COF US Equity</v>
      </c>
      <c r="C50" t="str">
        <f>IFERROR(IF(0=LEN(ReferenceData!$C$50),"",ReferenceData!$C$50),"")</f>
        <v>FC023</v>
      </c>
      <c r="D50" t="str">
        <f>IFERROR(IF(0=LEN(ReferenceData!$D$50),"",ReferenceData!$D$50),"")</f>
        <v>FDIC_TOTAL_SECURITIES</v>
      </c>
      <c r="E50" t="str">
        <f>IFERROR(IF(0=LEN(ReferenceData!$E$50),"",ReferenceData!$E$50),"")</f>
        <v>Dynamic</v>
      </c>
      <c r="F50">
        <f ca="1">IFERROR(IF(0=LEN(ReferenceData!$F$50),"",ReferenceData!$F$50),"")</f>
        <v>83013.192999999999</v>
      </c>
      <c r="G50">
        <f ca="1">IFERROR(IF(0=LEN(ReferenceData!$G$50),"",ReferenceData!$G$50),"")</f>
        <v>83500.428</v>
      </c>
      <c r="H50">
        <f ca="1">IFERROR(IF(0=LEN(ReferenceData!$H$50),"",ReferenceData!$H$50),"")</f>
        <v>79250.093999999997</v>
      </c>
      <c r="I50">
        <f ca="1">IFERROR(IF(0=LEN(ReferenceData!$I$50),"",ReferenceData!$I$50),"")</f>
        <v>78397.607000000004</v>
      </c>
      <c r="J50">
        <f ca="1">IFERROR(IF(0=LEN(ReferenceData!$J$50),"",ReferenceData!$J$50),"")</f>
        <v>79116.904999999999</v>
      </c>
      <c r="K50">
        <f ca="1">IFERROR(IF(0=LEN(ReferenceData!$K$50),"",ReferenceData!$K$50),"")</f>
        <v>74837.17</v>
      </c>
      <c r="L50">
        <f ca="1">IFERROR(IF(0=LEN(ReferenceData!$L$50),"",ReferenceData!$L$50),"")</f>
        <v>78411.740999999995</v>
      </c>
      <c r="M50">
        <f ca="1">IFERROR(IF(0=LEN(ReferenceData!$M$50),"",ReferenceData!$M$50),"")</f>
        <v>81925.274000000005</v>
      </c>
      <c r="N50">
        <f ca="1">IFERROR(IF(0=LEN(ReferenceData!$N$50),"",ReferenceData!$N$50),"")</f>
        <v>76918.626999999993</v>
      </c>
      <c r="O50">
        <f ca="1">IFERROR(IF(0=LEN(ReferenceData!$O$50),"",ReferenceData!$O$50),"")</f>
        <v>75302.820999999996</v>
      </c>
      <c r="P50">
        <f ca="1">IFERROR(IF(0=LEN(ReferenceData!$P$50),"",ReferenceData!$P$50),"")</f>
        <v>83022.126999999993</v>
      </c>
      <c r="Q50">
        <f ca="1">IFERROR(IF(0=LEN(ReferenceData!$Q$50),"",ReferenceData!$Q$50),"")</f>
        <v>89076.012000000002</v>
      </c>
      <c r="R50">
        <f ca="1">IFERROR(IF(0=LEN(ReferenceData!$R$50),"",ReferenceData!$R$50),"")</f>
        <v>95260.739000000001</v>
      </c>
      <c r="S50">
        <f ca="1">IFERROR(IF(0=LEN(ReferenceData!$S$50),"",ReferenceData!$S$50),"")</f>
        <v>98148.701000000001</v>
      </c>
      <c r="T50">
        <f ca="1">IFERROR(IF(0=LEN(ReferenceData!$T$50),"",ReferenceData!$T$50),"")</f>
        <v>101765.87699999999</v>
      </c>
      <c r="U50">
        <f ca="1">IFERROR(IF(0=LEN(ReferenceData!$U$50),"",ReferenceData!$U$50),"")</f>
        <v>99165.066999999995</v>
      </c>
      <c r="V50">
        <f ca="1">IFERROR(IF(0=LEN(ReferenceData!$V$50),"",ReferenceData!$V$50),"")</f>
        <v>100444.936</v>
      </c>
      <c r="W50">
        <f ca="1">IFERROR(IF(0=LEN(ReferenceData!$W$50),"",ReferenceData!$W$50),"")</f>
        <v>99852.72</v>
      </c>
      <c r="X50">
        <f ca="1">IFERROR(IF(0=LEN(ReferenceData!$X$50),"",ReferenceData!$X$50),"")</f>
        <v>87858.527000000002</v>
      </c>
      <c r="Y50">
        <f ca="1">IFERROR(IF(0=LEN(ReferenceData!$Y$50),"",ReferenceData!$Y$50),"")</f>
        <v>81423.326000000001</v>
      </c>
      <c r="Z50">
        <f ca="1">IFERROR(IF(0=LEN(ReferenceData!$Z$50),"",ReferenceData!$Z$50),"")</f>
        <v>79213.357999999993</v>
      </c>
      <c r="AA50">
        <f ca="1">IFERROR(IF(0=LEN(ReferenceData!$AA$50),"",ReferenceData!$AA$50),"")</f>
        <v>80111.137000000002</v>
      </c>
      <c r="AB50">
        <f ca="1">IFERROR(IF(0=LEN(ReferenceData!$AB$50),"",ReferenceData!$AB$50),"")</f>
        <v>81133.240999999995</v>
      </c>
      <c r="AC50">
        <f ca="1">IFERROR(IF(0=LEN(ReferenceData!$AC$50),"",ReferenceData!$AC$50),"")</f>
        <v>82391.316000000006</v>
      </c>
      <c r="AD50">
        <f ca="1">IFERROR(IF(0=LEN(ReferenceData!$AD$50),"",ReferenceData!$AD$50),"")</f>
        <v>82920.531000000003</v>
      </c>
      <c r="AE50">
        <f ca="1">IFERROR(IF(0=LEN(ReferenceData!$AE$50),"",ReferenceData!$AE$50),"")</f>
        <v>82015.797999999995</v>
      </c>
      <c r="AF50">
        <f ca="1">IFERROR(IF(0=LEN(ReferenceData!$AF$50),"",ReferenceData!$AF$50),"")</f>
        <v>84155.271999999997</v>
      </c>
      <c r="AG50">
        <f ca="1">IFERROR(IF(0=LEN(ReferenceData!$AG$50),"",ReferenceData!$AG$50),"")</f>
        <v>70227.331000000006</v>
      </c>
      <c r="AH50">
        <f ca="1">IFERROR(IF(0=LEN(ReferenceData!$AH$50),"",ReferenceData!$AH$50),"")</f>
        <v>66742.240000000005</v>
      </c>
      <c r="AI50">
        <f ca="1">IFERROR(IF(0=LEN(ReferenceData!$AI$50),"",ReferenceData!$AI$50),"")</f>
        <v>68461.244999999995</v>
      </c>
      <c r="AJ50">
        <f ca="1">IFERROR(IF(0=LEN(ReferenceData!$AJ$50),"",ReferenceData!$AJ$50),"")</f>
        <v>68907.047000000006</v>
      </c>
      <c r="AK50">
        <f ca="1">IFERROR(IF(0=LEN(ReferenceData!$AK$50),"",ReferenceData!$AK$50),"")</f>
        <v>67493.002999999997</v>
      </c>
      <c r="AL50">
        <f ca="1">IFERROR(IF(0=LEN(ReferenceData!$AL$50),"",ReferenceData!$AL$50),"")</f>
        <v>66512.264999999999</v>
      </c>
      <c r="AM50">
        <f ca="1">IFERROR(IF(0=LEN(ReferenceData!$AM$50),"",ReferenceData!$AM$50),"")</f>
        <v>66586.088000000003</v>
      </c>
      <c r="AN50">
        <f ca="1">IFERROR(IF(0=LEN(ReferenceData!$AN$50),"",ReferenceData!$AN$50),"")</f>
        <v>65079.207999999999</v>
      </c>
      <c r="AO50">
        <f ca="1">IFERROR(IF(0=LEN(ReferenceData!$AO$50),"",ReferenceData!$AO$50),"")</f>
        <v>65170.180999999997</v>
      </c>
      <c r="AP50">
        <f ca="1">IFERROR(IF(0=LEN(ReferenceData!$AP$50),"",ReferenceData!$AP$50),"")</f>
        <v>63678.411</v>
      </c>
      <c r="AQ50">
        <f ca="1">IFERROR(IF(0=LEN(ReferenceData!$AQ$50),"",ReferenceData!$AQ$50),"")</f>
        <v>63141.970999999998</v>
      </c>
      <c r="AR50">
        <f ca="1">IFERROR(IF(0=LEN(ReferenceData!$AR$50),"",ReferenceData!$AR$50),"")</f>
        <v>62802.673999999999</v>
      </c>
      <c r="AS50">
        <f ca="1">IFERROR(IF(0=LEN(ReferenceData!$AS$50),"",ReferenceData!$AS$50),"")</f>
        <v>62559.735000000001</v>
      </c>
      <c r="AT50">
        <f ca="1">IFERROR(IF(0=LEN(ReferenceData!$AT$50),"",ReferenceData!$AT$50),"")</f>
        <v>62006.911</v>
      </c>
      <c r="AU50">
        <f ca="1">IFERROR(IF(0=LEN(ReferenceData!$AU$50),"",ReferenceData!$AU$50),"")</f>
        <v>61845.754999999997</v>
      </c>
      <c r="AV50">
        <f ca="1">IFERROR(IF(0=LEN(ReferenceData!$AV$50),"",ReferenceData!$AV$50),"")</f>
        <v>61799.271999999997</v>
      </c>
      <c r="AW50">
        <f ca="1">IFERROR(IF(0=LEN(ReferenceData!$AW$50),"",ReferenceData!$AW$50),"")</f>
        <v>60868.821000000004</v>
      </c>
      <c r="AX50">
        <f ca="1">IFERROR(IF(0=LEN(ReferenceData!$AX$50),"",ReferenceData!$AX$50),"")</f>
        <v>60929.675000000003</v>
      </c>
      <c r="AY50">
        <f ca="1">IFERROR(IF(0=LEN(ReferenceData!$AY$50),"",ReferenceData!$AY$50),"")</f>
        <v>61406.349000000002</v>
      </c>
      <c r="AZ50">
        <f ca="1">IFERROR(IF(0=LEN(ReferenceData!$AZ$50),"",ReferenceData!$AZ$50),"")</f>
        <v>62600.260999999999</v>
      </c>
      <c r="BA50">
        <f ca="1">IFERROR(IF(0=LEN(ReferenceData!$BA$50),"",ReferenceData!$BA$50),"")</f>
        <v>64119.396999999997</v>
      </c>
      <c r="BB50">
        <f ca="1">IFERROR(IF(0=LEN(ReferenceData!$BB$50),"",ReferenceData!$BB$50),"")</f>
        <v>64071.09</v>
      </c>
      <c r="BC50">
        <f ca="1">IFERROR(IF(0=LEN(ReferenceData!$BC$50),"",ReferenceData!$BC$50),"")</f>
        <v>61590.953999999998</v>
      </c>
      <c r="BD50">
        <f ca="1">IFERROR(IF(0=LEN(ReferenceData!$BD$50),"",ReferenceData!$BD$50),"")</f>
        <v>55397.64</v>
      </c>
      <c r="BE50">
        <f ca="1">IFERROR(IF(0=LEN(ReferenceData!$BE$50),"",ReferenceData!$BE$50),"")</f>
        <v>60881.072</v>
      </c>
      <c r="BF50">
        <f ca="1">IFERROR(IF(0=LEN(ReferenceData!$BF$50),"",ReferenceData!$BF$50),"")</f>
        <v>38751.586000000003</v>
      </c>
      <c r="BG50">
        <f ca="1">IFERROR(IF(0=LEN(ReferenceData!$BG$50),"",ReferenceData!$BG$50),"")</f>
        <v>38537.264999999999</v>
      </c>
      <c r="BH50">
        <f ca="1">IFERROR(IF(0=LEN(ReferenceData!$BH$50),"",ReferenceData!$BH$50),"")</f>
        <v>39467.294999999998</v>
      </c>
      <c r="BI50">
        <f ca="1">IFERROR(IF(0=LEN(ReferenceData!$BI$50),"",ReferenceData!$BI$50),"")</f>
        <v>41559.788999999997</v>
      </c>
      <c r="BJ50">
        <f ca="1">IFERROR(IF(0=LEN(ReferenceData!$BJ$50),"",ReferenceData!$BJ$50),"")</f>
        <v>41530.574000000001</v>
      </c>
      <c r="BK50">
        <f ca="1">IFERROR(IF(0=LEN(ReferenceData!$BK$50),"",ReferenceData!$BK$50),"")</f>
        <v>40074.542999999998</v>
      </c>
      <c r="BL50">
        <f ca="1">IFERROR(IF(0=LEN(ReferenceData!$BL$50),"",ReferenceData!$BL$50),"")</f>
        <v>39566.559000000001</v>
      </c>
      <c r="BM50" t="str">
        <f ca="1">IFERROR(IF(0=LEN(ReferenceData!$BM$50),"",ReferenceData!$BM$50),"")</f>
        <v/>
      </c>
    </row>
    <row r="51" spans="1:65" x14ac:dyDescent="0.25">
      <c r="A51" t="str">
        <f>IFERROR(IF(0=LEN(ReferenceData!$A$51),"",ReferenceData!$A$51),"")</f>
        <v xml:space="preserve">                Comerica Inc</v>
      </c>
      <c r="B51" t="str">
        <f>IFERROR(IF(0=LEN(ReferenceData!$B$51),"",ReferenceData!$B$51),"")</f>
        <v>CMA US Equity</v>
      </c>
      <c r="C51" t="str">
        <f>IFERROR(IF(0=LEN(ReferenceData!$C$51),"",ReferenceData!$C$51),"")</f>
        <v>FC023</v>
      </c>
      <c r="D51" t="str">
        <f>IFERROR(IF(0=LEN(ReferenceData!$D$51),"",ReferenceData!$D$51),"")</f>
        <v>FDIC_TOTAL_SECURITIES</v>
      </c>
      <c r="E51" t="str">
        <f>IFERROR(IF(0=LEN(ReferenceData!$E$51),"",ReferenceData!$E$51),"")</f>
        <v>Dynamic</v>
      </c>
      <c r="F51" t="str">
        <f ca="1">IFERROR(IF(0=LEN(ReferenceData!$F$51),"",ReferenceData!$F$51),"")</f>
        <v/>
      </c>
      <c r="G51">
        <f ca="1">IFERROR(IF(0=LEN(ReferenceData!$G$51),"",ReferenceData!$G$51),"")</f>
        <v>15886</v>
      </c>
      <c r="H51">
        <f ca="1">IFERROR(IF(0=LEN(ReferenceData!$H$51),"",ReferenceData!$H$51),"")</f>
        <v>15656</v>
      </c>
      <c r="I51">
        <f ca="1">IFERROR(IF(0=LEN(ReferenceData!$I$51),"",ReferenceData!$I$51),"")</f>
        <v>16245</v>
      </c>
      <c r="J51">
        <f ca="1">IFERROR(IF(0=LEN(ReferenceData!$J$51),"",ReferenceData!$J$51),"")</f>
        <v>16869</v>
      </c>
      <c r="K51">
        <f ca="1">IFERROR(IF(0=LEN(ReferenceData!$K$51),"",ReferenceData!$K$51),"")</f>
        <v>16323</v>
      </c>
      <c r="L51">
        <f ca="1">IFERROR(IF(0=LEN(ReferenceData!$L$51),"",ReferenceData!$L$51),"")</f>
        <v>17415</v>
      </c>
      <c r="M51">
        <f ca="1">IFERROR(IF(0=LEN(ReferenceData!$M$51),"",ReferenceData!$M$51),"")</f>
        <v>18295</v>
      </c>
      <c r="N51">
        <f ca="1">IFERROR(IF(0=LEN(ReferenceData!$N$51),"",ReferenceData!$N$51),"")</f>
        <v>19012</v>
      </c>
      <c r="O51">
        <f ca="1">IFERROR(IF(0=LEN(ReferenceData!$O$51),"",ReferenceData!$O$51),"")</f>
        <v>19452</v>
      </c>
      <c r="P51">
        <f ca="1">IFERROR(IF(0=LEN(ReferenceData!$P$51),"",ReferenceData!$P$51),"")</f>
        <v>20829</v>
      </c>
      <c r="Q51">
        <f ca="1">IFERROR(IF(0=LEN(ReferenceData!$Q$51),"",ReferenceData!$Q$51),"")</f>
        <v>18810</v>
      </c>
      <c r="R51">
        <f ca="1">IFERROR(IF(0=LEN(ReferenceData!$R$51),"",ReferenceData!$R$51),"")</f>
        <v>16986</v>
      </c>
      <c r="S51">
        <f ca="1">IFERROR(IF(0=LEN(ReferenceData!$S$51),"",ReferenceData!$S$51),"")</f>
        <v>16846</v>
      </c>
      <c r="T51">
        <f ca="1">IFERROR(IF(0=LEN(ReferenceData!$T$51),"",ReferenceData!$T$51),"")</f>
        <v>15837</v>
      </c>
      <c r="U51">
        <f ca="1">IFERROR(IF(0=LEN(ReferenceData!$U$51),"",ReferenceData!$U$51),"")</f>
        <v>15595</v>
      </c>
      <c r="V51">
        <f ca="1">IFERROR(IF(0=LEN(ReferenceData!$V$51),"",ReferenceData!$V$51),"")</f>
        <v>15028</v>
      </c>
      <c r="W51">
        <f ca="1">IFERROR(IF(0=LEN(ReferenceData!$W$51),"",ReferenceData!$W$51),"")</f>
        <v>15090</v>
      </c>
      <c r="X51">
        <f ca="1">IFERROR(IF(0=LEN(ReferenceData!$X$51),"",ReferenceData!$X$51),"")</f>
        <v>12759</v>
      </c>
      <c r="Y51">
        <f ca="1">IFERROR(IF(0=LEN(ReferenceData!$Y$51),"",ReferenceData!$Y$51),"")</f>
        <v>13041</v>
      </c>
      <c r="Z51">
        <f ca="1">IFERROR(IF(0=LEN(ReferenceData!$Z$51),"",ReferenceData!$Z$51),"")</f>
        <v>12398</v>
      </c>
      <c r="AA51">
        <f ca="1">IFERROR(IF(0=LEN(ReferenceData!$AA$51),"",ReferenceData!$AA$51),"")</f>
        <v>12429</v>
      </c>
      <c r="AB51">
        <f ca="1">IFERROR(IF(0=LEN(ReferenceData!$AB$51),"",ReferenceData!$AB$51),"")</f>
        <v>12338</v>
      </c>
      <c r="AC51">
        <f ca="1">IFERROR(IF(0=LEN(ReferenceData!$AC$51),"",ReferenceData!$AC$51),"")</f>
        <v>12212</v>
      </c>
      <c r="AD51">
        <f ca="1">IFERROR(IF(0=LEN(ReferenceData!$AD$51),"",ReferenceData!$AD$51),"")</f>
        <v>12044.962</v>
      </c>
      <c r="AE51">
        <f ca="1">IFERROR(IF(0=LEN(ReferenceData!$AE$51),"",ReferenceData!$AE$51),"")</f>
        <v>11861.776</v>
      </c>
      <c r="AF51">
        <f ca="1">IFERROR(IF(0=LEN(ReferenceData!$AF$51),"",ReferenceData!$AF$51),"")</f>
        <v>11914.958000000001</v>
      </c>
      <c r="AG51">
        <f ca="1">IFERROR(IF(0=LEN(ReferenceData!$AG$51),"",ReferenceData!$AG$51),"")</f>
        <v>11971.209000000001</v>
      </c>
      <c r="AH51">
        <f ca="1">IFERROR(IF(0=LEN(ReferenceData!$AH$51),"",ReferenceData!$AH$51),"")</f>
        <v>12203.981</v>
      </c>
      <c r="AI51">
        <f ca="1">IFERROR(IF(0=LEN(ReferenceData!$AI$51),"",ReferenceData!$AI$51),"")</f>
        <v>12342.07</v>
      </c>
      <c r="AJ51">
        <f ca="1">IFERROR(IF(0=LEN(ReferenceData!$AJ$51),"",ReferenceData!$AJ$51),"")</f>
        <v>12374.273999999999</v>
      </c>
      <c r="AK51">
        <f ca="1">IFERROR(IF(0=LEN(ReferenceData!$AK$51),"",ReferenceData!$AK$51),"")</f>
        <v>12338.156999999999</v>
      </c>
      <c r="AL51">
        <f ca="1">IFERROR(IF(0=LEN(ReferenceData!$AL$51),"",ReferenceData!$AL$51),"")</f>
        <v>12369.017</v>
      </c>
      <c r="AM51">
        <f ca="1">IFERROR(IF(0=LEN(ReferenceData!$AM$51),"",ReferenceData!$AM$51),"")</f>
        <v>12483.831</v>
      </c>
      <c r="AN51">
        <f ca="1">IFERROR(IF(0=LEN(ReferenceData!$AN$51),"",ReferenceData!$AN$51),"")</f>
        <v>12518.656000000001</v>
      </c>
      <c r="AO51">
        <f ca="1">IFERROR(IF(0=LEN(ReferenceData!$AO$51),"",ReferenceData!$AO$51),"")</f>
        <v>12513.814</v>
      </c>
      <c r="AP51">
        <f ca="1">IFERROR(IF(0=LEN(ReferenceData!$AP$51),"",ReferenceData!$AP$51),"")</f>
        <v>12499.89</v>
      </c>
      <c r="AQ51">
        <f ca="1">IFERROR(IF(0=LEN(ReferenceData!$AQ$51),"",ReferenceData!$AQ$51),"")</f>
        <v>10611.803</v>
      </c>
      <c r="AR51">
        <f ca="1">IFERROR(IF(0=LEN(ReferenceData!$AR$51),"",ReferenceData!$AR$51),"")</f>
        <v>10219.34</v>
      </c>
      <c r="AS51">
        <f ca="1">IFERROR(IF(0=LEN(ReferenceData!$AS$51),"",ReferenceData!$AS$51),"")</f>
        <v>10084.808999999999</v>
      </c>
      <c r="AT51">
        <f ca="1">IFERROR(IF(0=LEN(ReferenceData!$AT$51),"",ReferenceData!$AT$51),"")</f>
        <v>10051.098</v>
      </c>
      <c r="AU51">
        <f ca="1">IFERROR(IF(0=LEN(ReferenceData!$AU$51),"",ReferenceData!$AU$51),"")</f>
        <v>9468.4770000000008</v>
      </c>
      <c r="AV51">
        <f ca="1">IFERROR(IF(0=LEN(ReferenceData!$AV$51),"",ReferenceData!$AV$51),"")</f>
        <v>9534.2690000000002</v>
      </c>
      <c r="AW51">
        <f ca="1">IFERROR(IF(0=LEN(ReferenceData!$AW$51),"",ReferenceData!$AW$51),"")</f>
        <v>9486.9150000000009</v>
      </c>
      <c r="AX51">
        <f ca="1">IFERROR(IF(0=LEN(ReferenceData!$AX$51),"",ReferenceData!$AX$51),"")</f>
        <v>9306.8240000000005</v>
      </c>
      <c r="AY51">
        <f ca="1">IFERROR(IF(0=LEN(ReferenceData!$AY$51),"",ReferenceData!$AY$51),"")</f>
        <v>9487.8070000000007</v>
      </c>
      <c r="AZ51">
        <f ca="1">IFERROR(IF(0=LEN(ReferenceData!$AZ$51),"",ReferenceData!$AZ$51),"")</f>
        <v>9630.8960000000006</v>
      </c>
      <c r="BA51">
        <f ca="1">IFERROR(IF(0=LEN(ReferenceData!$BA$51),"",ReferenceData!$BA$51),"")</f>
        <v>10285.710999999999</v>
      </c>
      <c r="BB51">
        <f ca="1">IFERROR(IF(0=LEN(ReferenceData!$BB$51),"",ReferenceData!$BB$51),"")</f>
        <v>10296.532999999999</v>
      </c>
      <c r="BC51">
        <f ca="1">IFERROR(IF(0=LEN(ReferenceData!$BC$51),"",ReferenceData!$BC$51),"")</f>
        <v>10569.708000000001</v>
      </c>
      <c r="BD51">
        <f ca="1">IFERROR(IF(0=LEN(ReferenceData!$BD$51),"",ReferenceData!$BD$51),"")</f>
        <v>9939.7080000000005</v>
      </c>
      <c r="BE51">
        <f ca="1">IFERROR(IF(0=LEN(ReferenceData!$BE$51),"",ReferenceData!$BE$51),"")</f>
        <v>10060.642</v>
      </c>
      <c r="BF51">
        <f ca="1">IFERROR(IF(0=LEN(ReferenceData!$BF$51),"",ReferenceData!$BF$51),"")</f>
        <v>10103.412</v>
      </c>
      <c r="BG51">
        <f ca="1">IFERROR(IF(0=LEN(ReferenceData!$BG$51),"",ReferenceData!$BG$51),"")</f>
        <v>9731.9220000000005</v>
      </c>
      <c r="BH51">
        <f ca="1">IFERROR(IF(0=LEN(ReferenceData!$BH$51),"",ReferenceData!$BH$51),"")</f>
        <v>7536.5240000000003</v>
      </c>
      <c r="BI51">
        <f ca="1">IFERROR(IF(0=LEN(ReferenceData!$BI$51),"",ReferenceData!$BI$51),"")</f>
        <v>7405.942</v>
      </c>
      <c r="BJ51">
        <f ca="1">IFERROR(IF(0=LEN(ReferenceData!$BJ$51),"",ReferenceData!$BJ$51),"")</f>
        <v>7559.9589999999998</v>
      </c>
      <c r="BK51">
        <f ca="1">IFERROR(IF(0=LEN(ReferenceData!$BK$51),"",ReferenceData!$BK$51),"")</f>
        <v>6816.02</v>
      </c>
      <c r="BL51">
        <f ca="1">IFERROR(IF(0=LEN(ReferenceData!$BL$51),"",ReferenceData!$BL$51),"")</f>
        <v>7187.9480000000003</v>
      </c>
      <c r="BM51">
        <f ca="1">IFERROR(IF(0=LEN(ReferenceData!$BM$51),"",ReferenceData!$BM$51),"")</f>
        <v>7346.2870000000003</v>
      </c>
    </row>
    <row r="52" spans="1:65" x14ac:dyDescent="0.25">
      <c r="A52" t="str">
        <f>IFERROR(IF(0=LEN(ReferenceData!$A$52),"",ReferenceData!$A$52),"")</f>
        <v xml:space="preserve">                East West Bancorp Inc</v>
      </c>
      <c r="B52" t="str">
        <f>IFERROR(IF(0=LEN(ReferenceData!$B$52),"",ReferenceData!$B$52),"")</f>
        <v>EWBC US Equity</v>
      </c>
      <c r="C52" t="str">
        <f>IFERROR(IF(0=LEN(ReferenceData!$C$52),"",ReferenceData!$C$52),"")</f>
        <v>FC023</v>
      </c>
      <c r="D52" t="str">
        <f>IFERROR(IF(0=LEN(ReferenceData!$D$52),"",ReferenceData!$D$52),"")</f>
        <v>FDIC_TOTAL_SECURITIES</v>
      </c>
      <c r="E52" t="str">
        <f>IFERROR(IF(0=LEN(ReferenceData!$E$52),"",ReferenceData!$E$52),"")</f>
        <v>Dynamic</v>
      </c>
      <c r="F52">
        <f ca="1">IFERROR(IF(0=LEN(ReferenceData!$F$52),"",ReferenceData!$F$52),"")</f>
        <v>13764.224</v>
      </c>
      <c r="G52">
        <f ca="1">IFERROR(IF(0=LEN(ReferenceData!$G$52),"",ReferenceData!$G$52),"")</f>
        <v>13062.276</v>
      </c>
      <c r="H52">
        <f ca="1">IFERROR(IF(0=LEN(ReferenceData!$H$52),"",ReferenceData!$H$52),"")</f>
        <v>11861.778</v>
      </c>
      <c r="I52">
        <f ca="1">IFERROR(IF(0=LEN(ReferenceData!$I$52),"",ReferenceData!$I$52),"")</f>
        <v>11349.11</v>
      </c>
      <c r="J52">
        <f ca="1">IFERROR(IF(0=LEN(ReferenceData!$J$52),"",ReferenceData!$J$52),"")</f>
        <v>9144.3770000000004</v>
      </c>
      <c r="K52">
        <f ca="1">IFERROR(IF(0=LEN(ReferenceData!$K$52),"",ReferenceData!$K$52),"")</f>
        <v>9004.0720000000001</v>
      </c>
      <c r="L52">
        <f ca="1">IFERROR(IF(0=LEN(ReferenceData!$L$52),"",ReferenceData!$L$52),"")</f>
        <v>8963.1910000000007</v>
      </c>
      <c r="M52">
        <f ca="1">IFERROR(IF(0=LEN(ReferenceData!$M$52),"",ReferenceData!$M$52),"")</f>
        <v>9294.2890000000007</v>
      </c>
      <c r="N52">
        <f ca="1">IFERROR(IF(0=LEN(ReferenceData!$N$52),"",ReferenceData!$N$52),"")</f>
        <v>9036.8610000000008</v>
      </c>
      <c r="O52">
        <f ca="1">IFERROR(IF(0=LEN(ReferenceData!$O$52),"",ReferenceData!$O$52),"")</f>
        <v>8918.7569999999996</v>
      </c>
      <c r="P52">
        <f ca="1">IFERROR(IF(0=LEN(ReferenceData!$P$52),"",ReferenceData!$P$52),"")</f>
        <v>9283.8060000000005</v>
      </c>
      <c r="Q52">
        <f ca="1">IFERROR(IF(0=LEN(ReferenceData!$Q$52),"",ReferenceData!$Q$52),"")</f>
        <v>9727.1329999999998</v>
      </c>
      <c r="R52">
        <f ca="1">IFERROR(IF(0=LEN(ReferenceData!$R$52),"",ReferenceData!$R$52),"")</f>
        <v>9965.3529999999992</v>
      </c>
      <c r="S52">
        <f ca="1">IFERROR(IF(0=LEN(ReferenceData!$S$52),"",ReferenceData!$S$52),"")</f>
        <v>9713.0059999999994</v>
      </c>
      <c r="T52">
        <f ca="1">IFERROR(IF(0=LEN(ReferenceData!$T$52),"",ReferenceData!$T$52),"")</f>
        <v>8399.4599999999991</v>
      </c>
      <c r="U52">
        <f ca="1">IFERROR(IF(0=LEN(ReferenceData!$U$52),"",ReferenceData!$U$52),"")</f>
        <v>7789.2129999999997</v>
      </c>
      <c r="V52">
        <f ca="1">IFERROR(IF(0=LEN(ReferenceData!$V$52),"",ReferenceData!$V$52),"")</f>
        <v>5544.6580000000004</v>
      </c>
      <c r="W52">
        <f ca="1">IFERROR(IF(0=LEN(ReferenceData!$W$52),"",ReferenceData!$W$52),"")</f>
        <v>4539.16</v>
      </c>
      <c r="X52">
        <f ca="1">IFERROR(IF(0=LEN(ReferenceData!$X$52),"",ReferenceData!$X$52),"")</f>
        <v>3884.5740000000001</v>
      </c>
      <c r="Y52">
        <f ca="1">IFERROR(IF(0=LEN(ReferenceData!$Y$52),"",ReferenceData!$Y$52),"")</f>
        <v>3695.9430000000002</v>
      </c>
      <c r="Z52">
        <f ca="1">IFERROR(IF(0=LEN(ReferenceData!$Z$52),"",ReferenceData!$Z$52),"")</f>
        <v>3317.2139999999999</v>
      </c>
      <c r="AA52">
        <f ca="1">IFERROR(IF(0=LEN(ReferenceData!$AA$52),"",ReferenceData!$AA$52),"")</f>
        <v>3284.0340000000001</v>
      </c>
      <c r="AB52">
        <f ca="1">IFERROR(IF(0=LEN(ReferenceData!$AB$52),"",ReferenceData!$AB$52),"")</f>
        <v>2592.913</v>
      </c>
      <c r="AC52">
        <f ca="1">IFERROR(IF(0=LEN(ReferenceData!$AC$52),"",ReferenceData!$AC$52),"")</f>
        <v>2640.1579999999999</v>
      </c>
      <c r="AD52">
        <f ca="1">IFERROR(IF(0=LEN(ReferenceData!$AD$52),"",ReferenceData!$AD$52),"")</f>
        <v>2741.8470000000002</v>
      </c>
      <c r="AE52">
        <f ca="1">IFERROR(IF(0=LEN(ReferenceData!$AE$52),"",ReferenceData!$AE$52),"")</f>
        <v>2676.51</v>
      </c>
      <c r="AF52">
        <f ca="1">IFERROR(IF(0=LEN(ReferenceData!$AF$52),"",ReferenceData!$AF$52),"")</f>
        <v>2707.444</v>
      </c>
      <c r="AG52">
        <f ca="1">IFERROR(IF(0=LEN(ReferenceData!$AG$52),"",ReferenceData!$AG$52),"")</f>
        <v>2811.4160000000002</v>
      </c>
      <c r="AH52">
        <f ca="1">IFERROR(IF(0=LEN(ReferenceData!$AH$52),"",ReferenceData!$AH$52),"")</f>
        <v>3016.752</v>
      </c>
      <c r="AI52">
        <f ca="1">IFERROR(IF(0=LEN(ReferenceData!$AI$52),"",ReferenceData!$AI$52),"")</f>
        <v>2956.7759999999998</v>
      </c>
      <c r="AJ52">
        <f ca="1">IFERROR(IF(0=LEN(ReferenceData!$AJ$52),"",ReferenceData!$AJ$52),"")</f>
        <v>2943.8560000000002</v>
      </c>
      <c r="AK52">
        <f ca="1">IFERROR(IF(0=LEN(ReferenceData!$AK$52),"",ReferenceData!$AK$52),"")</f>
        <v>3094.5309999999999</v>
      </c>
      <c r="AL52">
        <f ca="1">IFERROR(IF(0=LEN(ReferenceData!$AL$52),"",ReferenceData!$AL$52),"")</f>
        <v>3479.7660000000001</v>
      </c>
      <c r="AM52">
        <f ca="1">IFERROR(IF(0=LEN(ReferenceData!$AM$52),"",ReferenceData!$AM$52),"")</f>
        <v>3391.085</v>
      </c>
      <c r="AN52">
        <f ca="1">IFERROR(IF(0=LEN(ReferenceData!$AN$52),"",ReferenceData!$AN$52),"")</f>
        <v>3399.54</v>
      </c>
      <c r="AO52">
        <f ca="1">IFERROR(IF(0=LEN(ReferenceData!$AO$52),"",ReferenceData!$AO$52),"")</f>
        <v>3365.373</v>
      </c>
      <c r="AP52">
        <f ca="1">IFERROR(IF(0=LEN(ReferenceData!$AP$52),"",ReferenceData!$AP$52),"")</f>
        <v>3773.2260000000001</v>
      </c>
      <c r="AQ52">
        <f ca="1">IFERROR(IF(0=LEN(ReferenceData!$AQ$52),"",ReferenceData!$AQ$52),"")</f>
        <v>2952.277</v>
      </c>
      <c r="AR52">
        <f ca="1">IFERROR(IF(0=LEN(ReferenceData!$AR$52),"",ReferenceData!$AR$52),"")</f>
        <v>2982.1460000000002</v>
      </c>
      <c r="AS52">
        <f ca="1">IFERROR(IF(0=LEN(ReferenceData!$AS$52),"",ReferenceData!$AS$52),"")</f>
        <v>2841.085</v>
      </c>
      <c r="AT52">
        <f ca="1">IFERROR(IF(0=LEN(ReferenceData!$AT$52),"",ReferenceData!$AT$52),"")</f>
        <v>2618.8510000000001</v>
      </c>
      <c r="AU52">
        <f ca="1">IFERROR(IF(0=LEN(ReferenceData!$AU$52),"",ReferenceData!$AU$52),"")</f>
        <v>2585.145</v>
      </c>
      <c r="AV52">
        <f ca="1">IFERROR(IF(0=LEN(ReferenceData!$AV$52),"",ReferenceData!$AV$52),"")</f>
        <v>2528.71</v>
      </c>
      <c r="AW52">
        <f ca="1">IFERROR(IF(0=LEN(ReferenceData!$AW$52),"",ReferenceData!$AW$52),"")</f>
        <v>2473.7570000000001</v>
      </c>
      <c r="AX52">
        <f ca="1">IFERROR(IF(0=LEN(ReferenceData!$AX$52),"",ReferenceData!$AX$52),"")</f>
        <v>2734.4</v>
      </c>
      <c r="AY52">
        <f ca="1">IFERROR(IF(0=LEN(ReferenceData!$AY$52),"",ReferenceData!$AY$52),"")</f>
        <v>2894.3760000000002</v>
      </c>
      <c r="AZ52">
        <f ca="1">IFERROR(IF(0=LEN(ReferenceData!$AZ$52),"",ReferenceData!$AZ$52),"")</f>
        <v>2670.0990000000002</v>
      </c>
      <c r="BA52">
        <f ca="1">IFERROR(IF(0=LEN(ReferenceData!$BA$52),"",ReferenceData!$BA$52),"")</f>
        <v>2602.0520000000001</v>
      </c>
      <c r="BB52">
        <f ca="1">IFERROR(IF(0=LEN(ReferenceData!$BB$52),"",ReferenceData!$BB$52),"")</f>
        <v>2610.556</v>
      </c>
      <c r="BC52">
        <f ca="1">IFERROR(IF(0=LEN(ReferenceData!$BC$52),"",ReferenceData!$BC$52),"")</f>
        <v>2291.52</v>
      </c>
      <c r="BD52">
        <f ca="1">IFERROR(IF(0=LEN(ReferenceData!$BD$52),"",ReferenceData!$BD$52),"")</f>
        <v>1955.0650000000001</v>
      </c>
      <c r="BE52">
        <f ca="1">IFERROR(IF(0=LEN(ReferenceData!$BE$52),"",ReferenceData!$BE$52),"")</f>
        <v>2716.2849999999999</v>
      </c>
      <c r="BF52">
        <f ca="1">IFERROR(IF(0=LEN(ReferenceData!$BF$52),"",ReferenceData!$BF$52),"")</f>
        <v>3073.201</v>
      </c>
      <c r="BG52">
        <f ca="1">IFERROR(IF(0=LEN(ReferenceData!$BG$52),"",ReferenceData!$BG$52),"")</f>
        <v>3282.7809999999999</v>
      </c>
      <c r="BH52">
        <f ca="1">IFERROR(IF(0=LEN(ReferenceData!$BH$52),"",ReferenceData!$BH$52),"")</f>
        <v>3209.41</v>
      </c>
      <c r="BI52">
        <f ca="1">IFERROR(IF(0=LEN(ReferenceData!$BI$52),"",ReferenceData!$BI$52),"")</f>
        <v>3123.375</v>
      </c>
      <c r="BJ52">
        <f ca="1">IFERROR(IF(0=LEN(ReferenceData!$BJ$52),"",ReferenceData!$BJ$52),"")</f>
        <v>2890.9490000000001</v>
      </c>
      <c r="BK52">
        <f ca="1">IFERROR(IF(0=LEN(ReferenceData!$BK$52),"",ReferenceData!$BK$52),"")</f>
        <v>2908.127</v>
      </c>
      <c r="BL52">
        <f ca="1">IFERROR(IF(0=LEN(ReferenceData!$BL$52),"",ReferenceData!$BL$52),"")</f>
        <v>2127.5590000000002</v>
      </c>
      <c r="BM52" t="str">
        <f ca="1">IFERROR(IF(0=LEN(ReferenceData!$BM$52),"",ReferenceData!$BM$52),"")</f>
        <v/>
      </c>
    </row>
    <row r="53" spans="1:65" x14ac:dyDescent="0.25">
      <c r="A53" t="str">
        <f>IFERROR(IF(0=LEN(ReferenceData!$A$53),"",ReferenceData!$A$53),"")</f>
        <v xml:space="preserve">                Fifth Third Bancorp</v>
      </c>
      <c r="B53" t="str">
        <f>IFERROR(IF(0=LEN(ReferenceData!$B$53),"",ReferenceData!$B$53),"")</f>
        <v>FITB US Equity</v>
      </c>
      <c r="C53" t="str">
        <f>IFERROR(IF(0=LEN(ReferenceData!$C$53),"",ReferenceData!$C$53),"")</f>
        <v>FC023</v>
      </c>
      <c r="D53" t="str">
        <f>IFERROR(IF(0=LEN(ReferenceData!$D$53),"",ReferenceData!$D$53),"")</f>
        <v>FDIC_TOTAL_SECURITIES</v>
      </c>
      <c r="E53" t="str">
        <f>IFERROR(IF(0=LEN(ReferenceData!$E$53),"",ReferenceData!$E$53),"")</f>
        <v>Dynamic</v>
      </c>
      <c r="F53">
        <f ca="1">IFERROR(IF(0=LEN(ReferenceData!$F$53),"",ReferenceData!$F$53),"")</f>
        <v>50045</v>
      </c>
      <c r="G53">
        <f ca="1">IFERROR(IF(0=LEN(ReferenceData!$G$53),"",ReferenceData!$G$53),"")</f>
        <v>50975</v>
      </c>
      <c r="H53">
        <f ca="1">IFERROR(IF(0=LEN(ReferenceData!$H$53),"",ReferenceData!$H$53),"")</f>
        <v>49634</v>
      </c>
      <c r="I53">
        <f ca="1">IFERROR(IF(0=LEN(ReferenceData!$I$53),"",ReferenceData!$I$53),"")</f>
        <v>49509</v>
      </c>
      <c r="J53">
        <f ca="1">IFERROR(IF(0=LEN(ReferenceData!$J$53),"",ReferenceData!$J$53),"")</f>
        <v>49698</v>
      </c>
      <c r="K53">
        <f ca="1">IFERROR(IF(0=LEN(ReferenceData!$K$53),"",ReferenceData!$K$53),"")</f>
        <v>47115</v>
      </c>
      <c r="L53">
        <f ca="1">IFERROR(IF(0=LEN(ReferenceData!$L$53),"",ReferenceData!$L$53),"")</f>
        <v>48493</v>
      </c>
      <c r="M53">
        <f ca="1">IFERROR(IF(0=LEN(ReferenceData!$M$53),"",ReferenceData!$M$53),"")</f>
        <v>49829</v>
      </c>
      <c r="N53">
        <f ca="1">IFERROR(IF(0=LEN(ReferenceData!$N$53),"",ReferenceData!$N$53),"")</f>
        <v>50632.499000000003</v>
      </c>
      <c r="O53">
        <f ca="1">IFERROR(IF(0=LEN(ReferenceData!$O$53),"",ReferenceData!$O$53),"")</f>
        <v>50418.504999999997</v>
      </c>
      <c r="P53">
        <f ca="1">IFERROR(IF(0=LEN(ReferenceData!$P$53),"",ReferenceData!$P$53),"")</f>
        <v>52035.087</v>
      </c>
      <c r="Q53">
        <f ca="1">IFERROR(IF(0=LEN(ReferenceData!$Q$53),"",ReferenceData!$Q$53),"")</f>
        <v>48317.856</v>
      </c>
      <c r="R53">
        <f ca="1">IFERROR(IF(0=LEN(ReferenceData!$R$53),"",ReferenceData!$R$53),"")</f>
        <v>37597.712</v>
      </c>
      <c r="S53">
        <f ca="1">IFERROR(IF(0=LEN(ReferenceData!$S$53),"",ReferenceData!$S$53),"")</f>
        <v>37358.82</v>
      </c>
      <c r="T53">
        <f ca="1">IFERROR(IF(0=LEN(ReferenceData!$T$53),"",ReferenceData!$T$53),"")</f>
        <v>37500.955999999998</v>
      </c>
      <c r="U53">
        <f ca="1">IFERROR(IF(0=LEN(ReferenceData!$U$53),"",ReferenceData!$U$53),"")</f>
        <v>37082.682000000001</v>
      </c>
      <c r="V53">
        <f ca="1">IFERROR(IF(0=LEN(ReferenceData!$V$53),"",ReferenceData!$V$53),"")</f>
        <v>36997.82</v>
      </c>
      <c r="W53">
        <f ca="1">IFERROR(IF(0=LEN(ReferenceData!$W$53),"",ReferenceData!$W$53),"")</f>
        <v>36907.711000000003</v>
      </c>
      <c r="X53">
        <f ca="1">IFERROR(IF(0=LEN(ReferenceData!$X$53),"",ReferenceData!$X$53),"")</f>
        <v>38065.65</v>
      </c>
      <c r="Y53">
        <f ca="1">IFERROR(IF(0=LEN(ReferenceData!$Y$53),"",ReferenceData!$Y$53),"")</f>
        <v>38044.606</v>
      </c>
      <c r="Z53">
        <f ca="1">IFERROR(IF(0=LEN(ReferenceData!$Z$53),"",ReferenceData!$Z$53),"")</f>
        <v>35488.091999999997</v>
      </c>
      <c r="AA53">
        <f ca="1">IFERROR(IF(0=LEN(ReferenceData!$AA$53),"",ReferenceData!$AA$53),"")</f>
        <v>36619.249000000003</v>
      </c>
      <c r="AB53">
        <f ca="1">IFERROR(IF(0=LEN(ReferenceData!$AB$53),"",ReferenceData!$AB$53),"")</f>
        <v>35222.641000000003</v>
      </c>
      <c r="AC53">
        <f ca="1">IFERROR(IF(0=LEN(ReferenceData!$AC$53),"",ReferenceData!$AC$53),"")</f>
        <v>34482.877999999997</v>
      </c>
      <c r="AD53">
        <f ca="1">IFERROR(IF(0=LEN(ReferenceData!$AD$53),"",ReferenceData!$AD$53),"")</f>
        <v>32294.058000000001</v>
      </c>
      <c r="AE53">
        <f ca="1">IFERROR(IF(0=LEN(ReferenceData!$AE$53),"",ReferenceData!$AE$53),"")</f>
        <v>31273.663</v>
      </c>
      <c r="AF53">
        <f ca="1">IFERROR(IF(0=LEN(ReferenceData!$AF$53),"",ReferenceData!$AF$53),"")</f>
        <v>31364.669000000002</v>
      </c>
      <c r="AG53">
        <f ca="1">IFERROR(IF(0=LEN(ReferenceData!$AG$53),"",ReferenceData!$AG$53),"")</f>
        <v>31227.669000000002</v>
      </c>
      <c r="AH53">
        <f ca="1">IFERROR(IF(0=LEN(ReferenceData!$AH$53),"",ReferenceData!$AH$53),"")</f>
        <v>31230.933000000001</v>
      </c>
      <c r="AI53">
        <f ca="1">IFERROR(IF(0=LEN(ReferenceData!$AI$53),"",ReferenceData!$AI$53),"")</f>
        <v>30892.642</v>
      </c>
      <c r="AJ53">
        <f ca="1">IFERROR(IF(0=LEN(ReferenceData!$AJ$53),"",ReferenceData!$AJ$53),"")</f>
        <v>31236.618999999999</v>
      </c>
      <c r="AK53">
        <f ca="1">IFERROR(IF(0=LEN(ReferenceData!$AK$53),"",ReferenceData!$AK$53),"")</f>
        <v>30946.295999999998</v>
      </c>
      <c r="AL53">
        <f ca="1">IFERROR(IF(0=LEN(ReferenceData!$AL$53),"",ReferenceData!$AL$53),"")</f>
        <v>30600.281999999999</v>
      </c>
      <c r="AM53">
        <f ca="1">IFERROR(IF(0=LEN(ReferenceData!$AM$53),"",ReferenceData!$AM$53),"")</f>
        <v>30137.223000000002</v>
      </c>
      <c r="AN53">
        <f ca="1">IFERROR(IF(0=LEN(ReferenceData!$AN$53),"",ReferenceData!$AN$53),"")</f>
        <v>30908.973999999998</v>
      </c>
      <c r="AO53">
        <f ca="1">IFERROR(IF(0=LEN(ReferenceData!$AO$53),"",ReferenceData!$AO$53),"")</f>
        <v>29347.842000000001</v>
      </c>
      <c r="AP53">
        <f ca="1">IFERROR(IF(0=LEN(ReferenceData!$AP$53),"",ReferenceData!$AP$53),"")</f>
        <v>28507.763999999999</v>
      </c>
      <c r="AQ53">
        <f ca="1">IFERROR(IF(0=LEN(ReferenceData!$AQ$53),"",ReferenceData!$AQ$53),"")</f>
        <v>28350.624</v>
      </c>
      <c r="AR53">
        <f ca="1">IFERROR(IF(0=LEN(ReferenceData!$AR$53),"",ReferenceData!$AR$53),"")</f>
        <v>27541.434000000001</v>
      </c>
      <c r="AS53">
        <f ca="1">IFERROR(IF(0=LEN(ReferenceData!$AS$53),"",ReferenceData!$AS$53),"")</f>
        <v>25984.008999999998</v>
      </c>
      <c r="AT53">
        <f ca="1">IFERROR(IF(0=LEN(ReferenceData!$AT$53),"",ReferenceData!$AT$53),"")</f>
        <v>21992.848999999998</v>
      </c>
      <c r="AU53">
        <f ca="1">IFERROR(IF(0=LEN(ReferenceData!$AU$53),"",ReferenceData!$AU$53),"")</f>
        <v>22501.297999999999</v>
      </c>
      <c r="AV53">
        <f ca="1">IFERROR(IF(0=LEN(ReferenceData!$AV$53),"",ReferenceData!$AV$53),"")</f>
        <v>22408.186000000002</v>
      </c>
      <c r="AW53">
        <f ca="1">IFERROR(IF(0=LEN(ReferenceData!$AW$53),"",ReferenceData!$AW$53),"")</f>
        <v>20344.429</v>
      </c>
      <c r="AX53">
        <f ca="1">IFERROR(IF(0=LEN(ReferenceData!$AX$53),"",ReferenceData!$AX$53),"")</f>
        <v>18052.371999999999</v>
      </c>
      <c r="AY53">
        <f ca="1">IFERROR(IF(0=LEN(ReferenceData!$AY$53),"",ReferenceData!$AY$53),"")</f>
        <v>17497.062999999998</v>
      </c>
      <c r="AZ53">
        <f ca="1">IFERROR(IF(0=LEN(ReferenceData!$AZ$53),"",ReferenceData!$AZ$53),"")</f>
        <v>15614.671</v>
      </c>
      <c r="BA53">
        <f ca="1">IFERROR(IF(0=LEN(ReferenceData!$BA$53),"",ReferenceData!$BA$53),"")</f>
        <v>14699.687</v>
      </c>
      <c r="BB53">
        <f ca="1">IFERROR(IF(0=LEN(ReferenceData!$BB$53),"",ReferenceData!$BB$53),"")</f>
        <v>14644.815000000001</v>
      </c>
      <c r="BC53">
        <f ca="1">IFERROR(IF(0=LEN(ReferenceData!$BC$53),"",ReferenceData!$BC$53),"")</f>
        <v>14843.415999999999</v>
      </c>
      <c r="BD53">
        <f ca="1">IFERROR(IF(0=LEN(ReferenceData!$BD$53),"",ReferenceData!$BD$53),"")</f>
        <v>15011.558000000001</v>
      </c>
      <c r="BE53">
        <f ca="1">IFERROR(IF(0=LEN(ReferenceData!$BE$53),"",ReferenceData!$BE$53),"")</f>
        <v>15569.308999999999</v>
      </c>
      <c r="BF53">
        <f ca="1">IFERROR(IF(0=LEN(ReferenceData!$BF$53),"",ReferenceData!$BF$53),"")</f>
        <v>14839.445</v>
      </c>
      <c r="BG53">
        <f ca="1">IFERROR(IF(0=LEN(ReferenceData!$BG$53),"",ReferenceData!$BG$53),"")</f>
        <v>15719.694</v>
      </c>
      <c r="BH53">
        <f ca="1">IFERROR(IF(0=LEN(ReferenceData!$BH$53),"",ReferenceData!$BH$53),"")</f>
        <v>15000.481</v>
      </c>
      <c r="BI53">
        <f ca="1">IFERROR(IF(0=LEN(ReferenceData!$BI$53),"",ReferenceData!$BI$53),"")</f>
        <v>14607.641</v>
      </c>
      <c r="BJ53">
        <f ca="1">IFERROR(IF(0=LEN(ReferenceData!$BJ$53),"",ReferenceData!$BJ$53),"")</f>
        <v>14893.754999999999</v>
      </c>
      <c r="BK53">
        <f ca="1">IFERROR(IF(0=LEN(ReferenceData!$BK$53),"",ReferenceData!$BK$53),"")</f>
        <v>15430.044</v>
      </c>
      <c r="BL53">
        <f ca="1">IFERROR(IF(0=LEN(ReferenceData!$BL$53),"",ReferenceData!$BL$53),"")</f>
        <v>15475.800999999999</v>
      </c>
      <c r="BM53" t="str">
        <f ca="1">IFERROR(IF(0=LEN(ReferenceData!$BM$53),"",ReferenceData!$BM$53),"")</f>
        <v/>
      </c>
    </row>
    <row r="54" spans="1:65" x14ac:dyDescent="0.25">
      <c r="A54" t="str">
        <f>IFERROR(IF(0=LEN(ReferenceData!$A$54),"",ReferenceData!$A$54),"")</f>
        <v xml:space="preserve">                First Citizens BancShares Inc/</v>
      </c>
      <c r="B54" t="str">
        <f>IFERROR(IF(0=LEN(ReferenceData!$B$54),"",ReferenceData!$B$54),"")</f>
        <v>FCNCA US Equity</v>
      </c>
      <c r="C54" t="str">
        <f>IFERROR(IF(0=LEN(ReferenceData!$C$54),"",ReferenceData!$C$54),"")</f>
        <v>FC023</v>
      </c>
      <c r="D54" t="str">
        <f>IFERROR(IF(0=LEN(ReferenceData!$D$54),"",ReferenceData!$D$54),"")</f>
        <v>FDIC_TOTAL_SECURITIES</v>
      </c>
      <c r="E54" t="str">
        <f>IFERROR(IF(0=LEN(ReferenceData!$E$54),"",ReferenceData!$E$54),"")</f>
        <v>Dynamic</v>
      </c>
      <c r="F54">
        <f ca="1">IFERROR(IF(0=LEN(ReferenceData!$F$54),"",ReferenceData!$F$54),"")</f>
        <v>43988</v>
      </c>
      <c r="G54">
        <f ca="1">IFERROR(IF(0=LEN(ReferenceData!$G$54),"",ReferenceData!$G$54),"")</f>
        <v>38580</v>
      </c>
      <c r="H54">
        <f ca="1">IFERROR(IF(0=LEN(ReferenceData!$H$54),"",ReferenceData!$H$54),"")</f>
        <v>37587</v>
      </c>
      <c r="I54">
        <f ca="1">IFERROR(IF(0=LEN(ReferenceData!$I$54),"",ReferenceData!$I$54),"")</f>
        <v>34963</v>
      </c>
      <c r="J54">
        <f ca="1">IFERROR(IF(0=LEN(ReferenceData!$J$54),"",ReferenceData!$J$54),"")</f>
        <v>29912.649000000001</v>
      </c>
      <c r="K54">
        <f ca="1">IFERROR(IF(0=LEN(ReferenceData!$K$54),"",ReferenceData!$K$54),"")</f>
        <v>26740.791000000001</v>
      </c>
      <c r="L54">
        <f ca="1">IFERROR(IF(0=LEN(ReferenceData!$L$54),"",ReferenceData!$L$54),"")</f>
        <v>22093.014999999999</v>
      </c>
      <c r="M54">
        <f ca="1">IFERROR(IF(0=LEN(ReferenceData!$M$54),"",ReferenceData!$M$54),"")</f>
        <v>19440.564999999999</v>
      </c>
      <c r="N54">
        <f ca="1">IFERROR(IF(0=LEN(ReferenceData!$N$54),"",ReferenceData!$N$54),"")</f>
        <v>19271.953000000001</v>
      </c>
      <c r="O54">
        <f ca="1">IFERROR(IF(0=LEN(ReferenceData!$O$54),"",ReferenceData!$O$54),"")</f>
        <v>18745.916000000001</v>
      </c>
      <c r="P54">
        <f ca="1">IFERROR(IF(0=LEN(ReferenceData!$P$54),"",ReferenceData!$P$54),"")</f>
        <v>19038.82</v>
      </c>
      <c r="Q54">
        <f ca="1">IFERROR(IF(0=LEN(ReferenceData!$Q$54),"",ReferenceData!$Q$54),"")</f>
        <v>19364.887999999999</v>
      </c>
      <c r="R54">
        <f ca="1">IFERROR(IF(0=LEN(ReferenceData!$R$54),"",ReferenceData!$R$54),"")</f>
        <v>13010.871999999999</v>
      </c>
      <c r="S54">
        <f ca="1">IFERROR(IF(0=LEN(ReferenceData!$S$54),"",ReferenceData!$S$54),"")</f>
        <v>10750.198</v>
      </c>
      <c r="T54">
        <f ca="1">IFERROR(IF(0=LEN(ReferenceData!$T$54),"",ReferenceData!$T$54),"")</f>
        <v>10773.68</v>
      </c>
      <c r="U54">
        <f ca="1">IFERROR(IF(0=LEN(ReferenceData!$U$54),"",ReferenceData!$U$54),"")</f>
        <v>10113.214</v>
      </c>
      <c r="V54">
        <f ca="1">IFERROR(IF(0=LEN(ReferenceData!$V$54),"",ReferenceData!$V$54),"")</f>
        <v>9828.9689999999991</v>
      </c>
      <c r="W54">
        <f ca="1">IFERROR(IF(0=LEN(ReferenceData!$W$54),"",ReferenceData!$W$54),"")</f>
        <v>9765.2639999999992</v>
      </c>
      <c r="X54">
        <f ca="1">IFERROR(IF(0=LEN(ReferenceData!$X$54),"",ReferenceData!$X$54),"")</f>
        <v>9391.1540000000005</v>
      </c>
      <c r="Y54">
        <f ca="1">IFERROR(IF(0=LEN(ReferenceData!$Y$54),"",ReferenceData!$Y$54),"")</f>
        <v>8509.4750000000004</v>
      </c>
      <c r="Z54">
        <f ca="1">IFERROR(IF(0=LEN(ReferenceData!$Z$54),"",ReferenceData!$Z$54),"")</f>
        <v>7059.674</v>
      </c>
      <c r="AA54">
        <f ca="1">IFERROR(IF(0=LEN(ReferenceData!$AA$54),"",ReferenceData!$AA$54),"")</f>
        <v>7020.0240000000003</v>
      </c>
      <c r="AB54">
        <f ca="1">IFERROR(IF(0=LEN(ReferenceData!$AB$54),"",ReferenceData!$AB$54),"")</f>
        <v>6548.5410000000002</v>
      </c>
      <c r="AC54">
        <f ca="1">IFERROR(IF(0=LEN(ReferenceData!$AC$54),"",ReferenceData!$AC$54),"")</f>
        <v>6804.6289999999999</v>
      </c>
      <c r="AD54">
        <f ca="1">IFERROR(IF(0=LEN(ReferenceData!$AD$54),"",ReferenceData!$AD$54),"")</f>
        <v>6741.7629999999999</v>
      </c>
      <c r="AE54">
        <f ca="1">IFERROR(IF(0=LEN(ReferenceData!$AE$54),"",ReferenceData!$AE$54),"")</f>
        <v>6930.7669999999998</v>
      </c>
      <c r="AF54">
        <f ca="1">IFERROR(IF(0=LEN(ReferenceData!$AF$54),"",ReferenceData!$AF$54),"")</f>
        <v>7083.2809999999999</v>
      </c>
      <c r="AG54">
        <f ca="1">IFERROR(IF(0=LEN(ReferenceData!$AG$54),"",ReferenceData!$AG$54),"")</f>
        <v>6857.8140000000003</v>
      </c>
      <c r="AH54">
        <f ca="1">IFERROR(IF(0=LEN(ReferenceData!$AH$54),"",ReferenceData!$AH$54),"")</f>
        <v>7180.2560000000003</v>
      </c>
      <c r="AI54">
        <f ca="1">IFERROR(IF(0=LEN(ReferenceData!$AI$54),"",ReferenceData!$AI$54),"")</f>
        <v>6992.9549999999999</v>
      </c>
      <c r="AJ54">
        <f ca="1">IFERROR(IF(0=LEN(ReferenceData!$AJ$54),"",ReferenceData!$AJ$54),"")</f>
        <v>6596.53</v>
      </c>
      <c r="AK54">
        <f ca="1">IFERROR(IF(0=LEN(ReferenceData!$AK$54),"",ReferenceData!$AK$54),"")</f>
        <v>7119.9440000000004</v>
      </c>
      <c r="AL54">
        <f ca="1">IFERROR(IF(0=LEN(ReferenceData!$AL$54),"",ReferenceData!$AL$54),"")</f>
        <v>7006.6779999999999</v>
      </c>
      <c r="AM54">
        <f ca="1">IFERROR(IF(0=LEN(ReferenceData!$AM$54),"",ReferenceData!$AM$54),"")</f>
        <v>6459.94</v>
      </c>
      <c r="AN54">
        <f ca="1">IFERROR(IF(0=LEN(ReferenceData!$AN$54),"",ReferenceData!$AN$54),"")</f>
        <v>6632.7359999999999</v>
      </c>
      <c r="AO54">
        <f ca="1">IFERROR(IF(0=LEN(ReferenceData!$AO$54),"",ReferenceData!$AO$54),"")</f>
        <v>6762.4830000000002</v>
      </c>
      <c r="AP54">
        <f ca="1">IFERROR(IF(0=LEN(ReferenceData!$AP$54),"",ReferenceData!$AP$54),"")</f>
        <v>6936.5479999999998</v>
      </c>
      <c r="AQ54">
        <f ca="1">IFERROR(IF(0=LEN(ReferenceData!$AQ$54),"",ReferenceData!$AQ$54),"")</f>
        <v>6765.8789999999999</v>
      </c>
      <c r="AR54">
        <f ca="1">IFERROR(IF(0=LEN(ReferenceData!$AR$54),"",ReferenceData!$AR$54),"")</f>
        <v>7425.5450000000001</v>
      </c>
      <c r="AS54">
        <f ca="1">IFERROR(IF(0=LEN(ReferenceData!$AS$54),"",ReferenceData!$AS$54),"")</f>
        <v>7120.55</v>
      </c>
      <c r="AT54">
        <f ca="1">IFERROR(IF(0=LEN(ReferenceData!$AT$54),"",ReferenceData!$AT$54),"")</f>
        <v>7247.4350000000004</v>
      </c>
      <c r="AU54">
        <f ca="1">IFERROR(IF(0=LEN(ReferenceData!$AU$54),"",ReferenceData!$AU$54),"")</f>
        <v>5698.701</v>
      </c>
      <c r="AV54">
        <f ca="1">IFERROR(IF(0=LEN(ReferenceData!$AV$54),"",ReferenceData!$AV$54),"")</f>
        <v>5538.8590000000004</v>
      </c>
      <c r="AW54">
        <f ca="1">IFERROR(IF(0=LEN(ReferenceData!$AW$54),"",ReferenceData!$AW$54),"")</f>
        <v>5677.0190000000002</v>
      </c>
      <c r="AX54">
        <f ca="1">IFERROR(IF(0=LEN(ReferenceData!$AX$54),"",ReferenceData!$AX$54),"")</f>
        <v>5388.61</v>
      </c>
      <c r="AY54">
        <f ca="1">IFERROR(IF(0=LEN(ReferenceData!$AY$54),"",ReferenceData!$AY$54),"")</f>
        <v>5162.598</v>
      </c>
      <c r="AZ54">
        <f ca="1">IFERROR(IF(0=LEN(ReferenceData!$AZ$54),"",ReferenceData!$AZ$54),"")</f>
        <v>5186.1059999999998</v>
      </c>
      <c r="BA54">
        <f ca="1">IFERROR(IF(0=LEN(ReferenceData!$BA$54),"",ReferenceData!$BA$54),"")</f>
        <v>5280.9070000000002</v>
      </c>
      <c r="BB54">
        <f ca="1">IFERROR(IF(0=LEN(ReferenceData!$BB$54),"",ReferenceData!$BB$54),"")</f>
        <v>5227.57</v>
      </c>
      <c r="BC54">
        <f ca="1">IFERROR(IF(0=LEN(ReferenceData!$BC$54),"",ReferenceData!$BC$54),"")</f>
        <v>5014.3069999999998</v>
      </c>
      <c r="BD54">
        <f ca="1">IFERROR(IF(0=LEN(ReferenceData!$BD$54),"",ReferenceData!$BD$54),"")</f>
        <v>4635.826</v>
      </c>
      <c r="BE54">
        <f ca="1">IFERROR(IF(0=LEN(ReferenceData!$BE$54),"",ReferenceData!$BE$54),"")</f>
        <v>4459.4269999999997</v>
      </c>
      <c r="BF54">
        <f ca="1">IFERROR(IF(0=LEN(ReferenceData!$BF$54),"",ReferenceData!$BF$54),"")</f>
        <v>4058.2449999999999</v>
      </c>
      <c r="BG54">
        <f ca="1">IFERROR(IF(0=LEN(ReferenceData!$BG$54),"",ReferenceData!$BG$54),"")</f>
        <v>3996.768</v>
      </c>
      <c r="BH54">
        <f ca="1">IFERROR(IF(0=LEN(ReferenceData!$BH$54),"",ReferenceData!$BH$54),"")</f>
        <v>4016.3389999999999</v>
      </c>
      <c r="BI54">
        <f ca="1">IFERROR(IF(0=LEN(ReferenceData!$BI$54),"",ReferenceData!$BI$54),"")</f>
        <v>4204.357</v>
      </c>
      <c r="BJ54">
        <f ca="1">IFERROR(IF(0=LEN(ReferenceData!$BJ$54),"",ReferenceData!$BJ$54),"")</f>
        <v>4512.6090000000004</v>
      </c>
      <c r="BK54">
        <f ca="1">IFERROR(IF(0=LEN(ReferenceData!$BK$54),"",ReferenceData!$BK$54),"")</f>
        <v>3789.2930000000001</v>
      </c>
      <c r="BL54">
        <f ca="1">IFERROR(IF(0=LEN(ReferenceData!$BL$54),"",ReferenceData!$BL$54),"")</f>
        <v>3771.8150000000001</v>
      </c>
      <c r="BM54" t="str">
        <f ca="1">IFERROR(IF(0=LEN(ReferenceData!$BM$54),"",ReferenceData!$BM$54),"")</f>
        <v/>
      </c>
    </row>
    <row r="55" spans="1:65" x14ac:dyDescent="0.25">
      <c r="A55" t="str">
        <f>IFERROR(IF(0=LEN(ReferenceData!$A$55),"",ReferenceData!$A$55),"")</f>
        <v xml:space="preserve">                Flagstar Financial Inc</v>
      </c>
      <c r="B55" t="str">
        <f>IFERROR(IF(0=LEN(ReferenceData!$B$55),"",ReferenceData!$B$55),"")</f>
        <v>FLG US Equity</v>
      </c>
      <c r="C55" t="str">
        <f>IFERROR(IF(0=LEN(ReferenceData!$C$55),"",ReferenceData!$C$55),"")</f>
        <v>FC023</v>
      </c>
      <c r="D55" t="str">
        <f>IFERROR(IF(0=LEN(ReferenceData!$D$55),"",ReferenceData!$D$55),"")</f>
        <v>FDIC_TOTAL_SECURITIES</v>
      </c>
      <c r="E55" t="str">
        <f>IFERROR(IF(0=LEN(ReferenceData!$E$55),"",ReferenceData!$E$55),"")</f>
        <v>Dynamic</v>
      </c>
      <c r="F55">
        <f ca="1">IFERROR(IF(0=LEN(ReferenceData!$F$55),"",ReferenceData!$F$55),"")</f>
        <v>10401.846</v>
      </c>
      <c r="G55">
        <f ca="1">IFERROR(IF(0=LEN(ReferenceData!$G$55),"",ReferenceData!$G$55),"")</f>
        <v>10510.848</v>
      </c>
      <c r="H55">
        <f ca="1">IFERROR(IF(0=LEN(ReferenceData!$H$55),"",ReferenceData!$H$55),"")</f>
        <v>10534.596</v>
      </c>
      <c r="I55">
        <f ca="1">IFERROR(IF(0=LEN(ReferenceData!$I$55),"",ReferenceData!$I$55),"")</f>
        <v>9336.4789999999994</v>
      </c>
      <c r="J55">
        <f ca="1">IFERROR(IF(0=LEN(ReferenceData!$J$55),"",ReferenceData!$J$55),"")</f>
        <v>9144.8559999999998</v>
      </c>
      <c r="K55">
        <f ca="1">IFERROR(IF(0=LEN(ReferenceData!$K$55),"",ReferenceData!$K$55),"")</f>
        <v>8722.6350000000002</v>
      </c>
      <c r="L55">
        <f ca="1">IFERROR(IF(0=LEN(ReferenceData!$L$55),"",ReferenceData!$L$55),"")</f>
        <v>7778.5609999999997</v>
      </c>
      <c r="M55">
        <f ca="1">IFERROR(IF(0=LEN(ReferenceData!$M$55),"",ReferenceData!$M$55),"")</f>
        <v>7599.0450000000001</v>
      </c>
      <c r="N55">
        <f ca="1">IFERROR(IF(0=LEN(ReferenceData!$N$55),"",ReferenceData!$N$55),"")</f>
        <v>9059.7389999999996</v>
      </c>
      <c r="O55">
        <f ca="1">IFERROR(IF(0=LEN(ReferenceData!$O$55),"",ReferenceData!$O$55),"")</f>
        <v>6689.1559999999999</v>
      </c>
      <c r="P55">
        <f ca="1">IFERROR(IF(0=LEN(ReferenceData!$P$55),"",ReferenceData!$P$55),"")</f>
        <v>5663.6270000000004</v>
      </c>
      <c r="Q55">
        <f ca="1">IFERROR(IF(0=LEN(ReferenceData!$Q$55),"",ReferenceData!$Q$55),"")</f>
        <v>5612.0259999999998</v>
      </c>
      <c r="R55">
        <f ca="1">IFERROR(IF(0=LEN(ReferenceData!$R$55),"",ReferenceData!$R$55),"")</f>
        <v>5779.97</v>
      </c>
      <c r="S55">
        <f ca="1">IFERROR(IF(0=LEN(ReferenceData!$S$55),"",ReferenceData!$S$55),"")</f>
        <v>5898.2129999999997</v>
      </c>
      <c r="T55">
        <f ca="1">IFERROR(IF(0=LEN(ReferenceData!$T$55),"",ReferenceData!$T$55),"")</f>
        <v>6077.3180000000002</v>
      </c>
      <c r="U55">
        <f ca="1">IFERROR(IF(0=LEN(ReferenceData!$U$55),"",ReferenceData!$U$55),"")</f>
        <v>6177.9049999999997</v>
      </c>
      <c r="V55">
        <f ca="1">IFERROR(IF(0=LEN(ReferenceData!$V$55),"",ReferenceData!$V$55),"")</f>
        <v>5813.3329999999996</v>
      </c>
      <c r="W55">
        <f ca="1">IFERROR(IF(0=LEN(ReferenceData!$W$55),"",ReferenceData!$W$55),"")</f>
        <v>5233.7439999999997</v>
      </c>
      <c r="X55">
        <f ca="1">IFERROR(IF(0=LEN(ReferenceData!$X$55),"",ReferenceData!$X$55),"")</f>
        <v>5168.1819999999998</v>
      </c>
      <c r="Y55">
        <f ca="1">IFERROR(IF(0=LEN(ReferenceData!$Y$55),"",ReferenceData!$Y$55),"")</f>
        <v>5455.2460000000001</v>
      </c>
      <c r="Z55">
        <f ca="1">IFERROR(IF(0=LEN(ReferenceData!$Z$55),"",ReferenceData!$Z$55),"")</f>
        <v>5853.0569999999998</v>
      </c>
      <c r="AA55">
        <f ca="1">IFERROR(IF(0=LEN(ReferenceData!$AA$55),"",ReferenceData!$AA$55),"")</f>
        <v>5854.5680000000002</v>
      </c>
      <c r="AB55">
        <f ca="1">IFERROR(IF(0=LEN(ReferenceData!$AB$55),"",ReferenceData!$AB$55),"")</f>
        <v>5738.1459999999997</v>
      </c>
      <c r="AC55">
        <f ca="1">IFERROR(IF(0=LEN(ReferenceData!$AC$55),"",ReferenceData!$AC$55),"")</f>
        <v>5724.6440000000002</v>
      </c>
      <c r="AD55">
        <f ca="1">IFERROR(IF(0=LEN(ReferenceData!$AD$55),"",ReferenceData!$AD$55),"")</f>
        <v>5613.52</v>
      </c>
      <c r="AE55">
        <f ca="1">IFERROR(IF(0=LEN(ReferenceData!$AE$55),"",ReferenceData!$AE$55),"")</f>
        <v>4764.2830000000004</v>
      </c>
      <c r="AF55">
        <f ca="1">IFERROR(IF(0=LEN(ReferenceData!$AF$55),"",ReferenceData!$AF$55),"")</f>
        <v>4122.8829999999998</v>
      </c>
      <c r="AG55">
        <f ca="1">IFERROR(IF(0=LEN(ReferenceData!$AG$55),"",ReferenceData!$AG$55),"")</f>
        <v>3391.9520000000002</v>
      </c>
      <c r="AH55">
        <f ca="1">IFERROR(IF(0=LEN(ReferenceData!$AH$55),"",ReferenceData!$AH$55),"")</f>
        <v>3531.4270000000001</v>
      </c>
      <c r="AI55">
        <f ca="1">IFERROR(IF(0=LEN(ReferenceData!$AI$55),"",ReferenceData!$AI$55),"")</f>
        <v>3031.0259999999998</v>
      </c>
      <c r="AJ55">
        <f ca="1">IFERROR(IF(0=LEN(ReferenceData!$AJ$55),"",ReferenceData!$AJ$55),"")</f>
        <v>3171.1170000000002</v>
      </c>
      <c r="AK55">
        <f ca="1">IFERROR(IF(0=LEN(ReferenceData!$AK$55),"",ReferenceData!$AK$55),"")</f>
        <v>3692.328</v>
      </c>
      <c r="AL55">
        <f ca="1">IFERROR(IF(0=LEN(ReferenceData!$AL$55),"",ReferenceData!$AL$55),"")</f>
        <v>3817.0569999999998</v>
      </c>
      <c r="AM55">
        <f ca="1">IFERROR(IF(0=LEN(ReferenceData!$AM$55),"",ReferenceData!$AM$55),"")</f>
        <v>3813.07</v>
      </c>
      <c r="AN55">
        <f ca="1">IFERROR(IF(0=LEN(ReferenceData!$AN$55),"",ReferenceData!$AN$55),"")</f>
        <v>3976.8310000000001</v>
      </c>
      <c r="AO55">
        <f ca="1">IFERROR(IF(0=LEN(ReferenceData!$AO$55),"",ReferenceData!$AO$55),"")</f>
        <v>4220.9989999999998</v>
      </c>
      <c r="AP55">
        <f ca="1">IFERROR(IF(0=LEN(ReferenceData!$AP$55),"",ReferenceData!$AP$55),"")</f>
        <v>6173.6450000000004</v>
      </c>
      <c r="AQ55">
        <f ca="1">IFERROR(IF(0=LEN(ReferenceData!$AQ$55),"",ReferenceData!$AQ$55),"")</f>
        <v>6759.6109999999999</v>
      </c>
      <c r="AR55">
        <f ca="1">IFERROR(IF(0=LEN(ReferenceData!$AR$55),"",ReferenceData!$AR$55),"")</f>
        <v>6823.5039999999999</v>
      </c>
      <c r="AS55">
        <f ca="1">IFERROR(IF(0=LEN(ReferenceData!$AS$55),"",ReferenceData!$AS$55),"")</f>
        <v>6960.5929999999998</v>
      </c>
      <c r="AT55">
        <f ca="1">IFERROR(IF(0=LEN(ReferenceData!$AT$55),"",ReferenceData!$AT$55),"")</f>
        <v>7096.45</v>
      </c>
      <c r="AU55">
        <f ca="1">IFERROR(IF(0=LEN(ReferenceData!$AU$55),"",ReferenceData!$AU$55),"")</f>
        <v>7511.2759999999998</v>
      </c>
      <c r="AV55">
        <f ca="1">IFERROR(IF(0=LEN(ReferenceData!$AV$55),"",ReferenceData!$AV$55),"")</f>
        <v>7792.9579999999996</v>
      </c>
      <c r="AW55">
        <f ca="1">IFERROR(IF(0=LEN(ReferenceData!$AW$55),"",ReferenceData!$AW$55),"")</f>
        <v>7952.4129999999996</v>
      </c>
      <c r="AX55">
        <f ca="1">IFERROR(IF(0=LEN(ReferenceData!$AX$55),"",ReferenceData!$AX$55),"")</f>
        <v>7951.02</v>
      </c>
      <c r="AY55">
        <f ca="1">IFERROR(IF(0=LEN(ReferenceData!$AY$55),"",ReferenceData!$AY$55),"")</f>
        <v>7083.42</v>
      </c>
      <c r="AZ55">
        <f ca="1">IFERROR(IF(0=LEN(ReferenceData!$AZ$55),"",ReferenceData!$AZ$55),"")</f>
        <v>5941.6959999999999</v>
      </c>
      <c r="BA55">
        <f ca="1">IFERROR(IF(0=LEN(ReferenceData!$BA$55),"",ReferenceData!$BA$55),"")</f>
        <v>5464.1880000000001</v>
      </c>
      <c r="BB55">
        <f ca="1">IFERROR(IF(0=LEN(ReferenceData!$BB$55),"",ReferenceData!$BB$55),"")</f>
        <v>4913.5280000000002</v>
      </c>
      <c r="BC55">
        <f ca="1">IFERROR(IF(0=LEN(ReferenceData!$BC$55),"",ReferenceData!$BC$55),"")</f>
        <v>5144.2079999999996</v>
      </c>
      <c r="BD55">
        <f ca="1">IFERROR(IF(0=LEN(ReferenceData!$BD$55),"",ReferenceData!$BD$55),"")</f>
        <v>4265.09</v>
      </c>
      <c r="BE55">
        <f ca="1">IFERROR(IF(0=LEN(ReferenceData!$BE$55),"",ReferenceData!$BE$55),"")</f>
        <v>4877.8090000000002</v>
      </c>
      <c r="BF55">
        <f ca="1">IFERROR(IF(0=LEN(ReferenceData!$BF$55),"",ReferenceData!$BF$55),"")</f>
        <v>4540.5159999999996</v>
      </c>
      <c r="BG55">
        <f ca="1">IFERROR(IF(0=LEN(ReferenceData!$BG$55),"",ReferenceData!$BG$55),"")</f>
        <v>5147.6170000000002</v>
      </c>
      <c r="BH55">
        <f ca="1">IFERROR(IF(0=LEN(ReferenceData!$BH$55),"",ReferenceData!$BH$55),"")</f>
        <v>5668.9179999999997</v>
      </c>
      <c r="BI55">
        <f ca="1">IFERROR(IF(0=LEN(ReferenceData!$BI$55),"",ReferenceData!$BI$55),"")</f>
        <v>4794.9970000000003</v>
      </c>
      <c r="BJ55">
        <f ca="1">IFERROR(IF(0=LEN(ReferenceData!$BJ$55),"",ReferenceData!$BJ$55),"")</f>
        <v>4788.8909999999996</v>
      </c>
      <c r="BK55">
        <f ca="1">IFERROR(IF(0=LEN(ReferenceData!$BK$55),"",ReferenceData!$BK$55),"")</f>
        <v>4725.9589999999998</v>
      </c>
      <c r="BL55">
        <f ca="1">IFERROR(IF(0=LEN(ReferenceData!$BL$55),"",ReferenceData!$BL$55),"")</f>
        <v>4697.2489999999998</v>
      </c>
      <c r="BM55" t="str">
        <f ca="1">IFERROR(IF(0=LEN(ReferenceData!$BM$55),"",ReferenceData!$BM$55),"")</f>
        <v/>
      </c>
    </row>
    <row r="56" spans="1:65" x14ac:dyDescent="0.25">
      <c r="A56" t="str">
        <f>IFERROR(IF(0=LEN(ReferenceData!$A$56),"",ReferenceData!$A$56),"")</f>
        <v xml:space="preserve">                Huntington Bancshares Inc/OH</v>
      </c>
      <c r="B56" t="str">
        <f>IFERROR(IF(0=LEN(ReferenceData!$B$56),"",ReferenceData!$B$56),"")</f>
        <v>HBAN US Equity</v>
      </c>
      <c r="C56" t="str">
        <f>IFERROR(IF(0=LEN(ReferenceData!$C$56),"",ReferenceData!$C$56),"")</f>
        <v>FC023</v>
      </c>
      <c r="D56" t="str">
        <f>IFERROR(IF(0=LEN(ReferenceData!$D$56),"",ReferenceData!$D$56),"")</f>
        <v>FDIC_TOTAL_SECURITIES</v>
      </c>
      <c r="E56" t="str">
        <f>IFERROR(IF(0=LEN(ReferenceData!$E$56),"",ReferenceData!$E$56),"")</f>
        <v>Dynamic</v>
      </c>
      <c r="F56">
        <f ca="1">IFERROR(IF(0=LEN(ReferenceData!$F$56),"",ReferenceData!$F$56),"")</f>
        <v>43640.821000000004</v>
      </c>
      <c r="G56">
        <f ca="1">IFERROR(IF(0=LEN(ReferenceData!$G$56),"",ReferenceData!$G$56),"")</f>
        <v>44162.175999999999</v>
      </c>
      <c r="H56">
        <f ca="1">IFERROR(IF(0=LEN(ReferenceData!$H$56),"",ReferenceData!$H$56),"")</f>
        <v>42490.555999999997</v>
      </c>
      <c r="I56">
        <f ca="1">IFERROR(IF(0=LEN(ReferenceData!$I$56),"",ReferenceData!$I$56),"")</f>
        <v>42216.74</v>
      </c>
      <c r="J56">
        <f ca="1">IFERROR(IF(0=LEN(ReferenceData!$J$56),"",ReferenceData!$J$56),"")</f>
        <v>41055.000999999997</v>
      </c>
      <c r="K56">
        <f ca="1">IFERROR(IF(0=LEN(ReferenceData!$K$56),"",ReferenceData!$K$56),"")</f>
        <v>38010.877999999997</v>
      </c>
      <c r="L56">
        <f ca="1">IFERROR(IF(0=LEN(ReferenceData!$L$56),"",ReferenceData!$L$56),"")</f>
        <v>39811.184999999998</v>
      </c>
      <c r="M56">
        <f ca="1">IFERROR(IF(0=LEN(ReferenceData!$M$56),"",ReferenceData!$M$56),"")</f>
        <v>41063.053999999996</v>
      </c>
      <c r="N56">
        <f ca="1">IFERROR(IF(0=LEN(ReferenceData!$N$56),"",ReferenceData!$N$56),"")</f>
        <v>40474.06</v>
      </c>
      <c r="O56">
        <f ca="1">IFERROR(IF(0=LEN(ReferenceData!$O$56),"",ReferenceData!$O$56),"")</f>
        <v>40479.027000000002</v>
      </c>
      <c r="P56">
        <f ca="1">IFERROR(IF(0=LEN(ReferenceData!$P$56),"",ReferenceData!$P$56),"")</f>
        <v>41732.016000000003</v>
      </c>
      <c r="Q56">
        <f ca="1">IFERROR(IF(0=LEN(ReferenceData!$Q$56),"",ReferenceData!$Q$56),"")</f>
        <v>42341.27</v>
      </c>
      <c r="R56">
        <f ca="1">IFERROR(IF(0=LEN(ReferenceData!$R$56),"",ReferenceData!$R$56),"")</f>
        <v>40906.214999999997</v>
      </c>
      <c r="S56">
        <f ca="1">IFERROR(IF(0=LEN(ReferenceData!$S$56),"",ReferenceData!$S$56),"")</f>
        <v>38108.432999999997</v>
      </c>
      <c r="T56">
        <f ca="1">IFERROR(IF(0=LEN(ReferenceData!$T$56),"",ReferenceData!$T$56),"")</f>
        <v>34330.057000000001</v>
      </c>
      <c r="U56">
        <f ca="1">IFERROR(IF(0=LEN(ReferenceData!$U$56),"",ReferenceData!$U$56),"")</f>
        <v>27189.637999999999</v>
      </c>
      <c r="V56">
        <f ca="1">IFERROR(IF(0=LEN(ReferenceData!$V$56),"",ReferenceData!$V$56),"")</f>
        <v>25346.447</v>
      </c>
      <c r="W56">
        <f ca="1">IFERROR(IF(0=LEN(ReferenceData!$W$56),"",ReferenceData!$W$56),"")</f>
        <v>23363.683000000001</v>
      </c>
      <c r="X56">
        <f ca="1">IFERROR(IF(0=LEN(ReferenceData!$X$56),"",ReferenceData!$X$56),"")</f>
        <v>22713.115000000002</v>
      </c>
      <c r="Y56">
        <f ca="1">IFERROR(IF(0=LEN(ReferenceData!$Y$56),"",ReferenceData!$Y$56),"")</f>
        <v>24814.678</v>
      </c>
      <c r="Z56">
        <f ca="1">IFERROR(IF(0=LEN(ReferenceData!$Z$56),"",ReferenceData!$Z$56),"")</f>
        <v>23218.286</v>
      </c>
      <c r="AA56">
        <f ca="1">IFERROR(IF(0=LEN(ReferenceData!$AA$56),"",ReferenceData!$AA$56),"")</f>
        <v>22715.868999999999</v>
      </c>
      <c r="AB56">
        <f ca="1">IFERROR(IF(0=LEN(ReferenceData!$AB$56),"",ReferenceData!$AB$56),"")</f>
        <v>22398.909</v>
      </c>
      <c r="AC56">
        <f ca="1">IFERROR(IF(0=LEN(ReferenceData!$AC$56),"",ReferenceData!$AC$56),"")</f>
        <v>22729.608</v>
      </c>
      <c r="AD56">
        <f ca="1">IFERROR(IF(0=LEN(ReferenceData!$AD$56),"",ReferenceData!$AD$56),"")</f>
        <v>22344.978999999999</v>
      </c>
      <c r="AE56">
        <f ca="1">IFERROR(IF(0=LEN(ReferenceData!$AE$56),"",ReferenceData!$AE$56),"")</f>
        <v>22192.288</v>
      </c>
      <c r="AF56">
        <f ca="1">IFERROR(IF(0=LEN(ReferenceData!$AF$56),"",ReferenceData!$AF$56),"")</f>
        <v>22751.955000000002</v>
      </c>
      <c r="AG56">
        <f ca="1">IFERROR(IF(0=LEN(ReferenceData!$AG$56),"",ReferenceData!$AG$56),"")</f>
        <v>23395.888999999999</v>
      </c>
      <c r="AH56">
        <f ca="1">IFERROR(IF(0=LEN(ReferenceData!$AH$56),"",ReferenceData!$AH$56),"")</f>
        <v>23979.212</v>
      </c>
      <c r="AI56">
        <f ca="1">IFERROR(IF(0=LEN(ReferenceData!$AI$56),"",ReferenceData!$AI$56),"")</f>
        <v>23558.440999999999</v>
      </c>
      <c r="AJ56">
        <f ca="1">IFERROR(IF(0=LEN(ReferenceData!$AJ$56),"",ReferenceData!$AJ$56),"")</f>
        <v>23082.411</v>
      </c>
      <c r="AK56">
        <f ca="1">IFERROR(IF(0=LEN(ReferenceData!$AK$56),"",ReferenceData!$AK$56),"")</f>
        <v>23154.493999999999</v>
      </c>
      <c r="AL56">
        <f ca="1">IFERROR(IF(0=LEN(ReferenceData!$AL$56),"",ReferenceData!$AL$56),"")</f>
        <v>22822.072</v>
      </c>
      <c r="AM56">
        <f ca="1">IFERROR(IF(0=LEN(ReferenceData!$AM$56),"",ReferenceData!$AM$56),"")</f>
        <v>21279.681</v>
      </c>
      <c r="AN56">
        <f ca="1">IFERROR(IF(0=LEN(ReferenceData!$AN$56),"",ReferenceData!$AN$56),"")</f>
        <v>14977.852000000001</v>
      </c>
      <c r="AO56">
        <f ca="1">IFERROR(IF(0=LEN(ReferenceData!$AO$56),"",ReferenceData!$AO$56),"")</f>
        <v>14932.065000000001</v>
      </c>
      <c r="AP56">
        <f ca="1">IFERROR(IF(0=LEN(ReferenceData!$AP$56),"",ReferenceData!$AP$56),"")</f>
        <v>14602.245000000001</v>
      </c>
      <c r="AQ56">
        <f ca="1">IFERROR(IF(0=LEN(ReferenceData!$AQ$56),"",ReferenceData!$AQ$56),"")</f>
        <v>13920.138000000001</v>
      </c>
      <c r="AR56">
        <f ca="1">IFERROR(IF(0=LEN(ReferenceData!$AR$56),"",ReferenceData!$AR$56),"")</f>
        <v>13226.936</v>
      </c>
      <c r="AS56">
        <f ca="1">IFERROR(IF(0=LEN(ReferenceData!$AS$56),"",ReferenceData!$AS$56),"")</f>
        <v>12927.290999999999</v>
      </c>
      <c r="AT56">
        <f ca="1">IFERROR(IF(0=LEN(ReferenceData!$AT$56),"",ReferenceData!$AT$56),"")</f>
        <v>12433.014999999999</v>
      </c>
      <c r="AU56">
        <f ca="1">IFERROR(IF(0=LEN(ReferenceData!$AU$56),"",ReferenceData!$AU$56),"")</f>
        <v>11886.975</v>
      </c>
      <c r="AV56">
        <f ca="1">IFERROR(IF(0=LEN(ReferenceData!$AV$56),"",ReferenceData!$AV$56),"")</f>
        <v>11781.972</v>
      </c>
      <c r="AW56">
        <f ca="1">IFERROR(IF(0=LEN(ReferenceData!$AW$56),"",ReferenceData!$AW$56),"")</f>
        <v>11166.361000000001</v>
      </c>
      <c r="AX56">
        <f ca="1">IFERROR(IF(0=LEN(ReferenceData!$AX$56),"",ReferenceData!$AX$56),"")</f>
        <v>10824.429</v>
      </c>
      <c r="AY56">
        <f ca="1">IFERROR(IF(0=LEN(ReferenceData!$AY$56),"",ReferenceData!$AY$56),"")</f>
        <v>8365.34</v>
      </c>
      <c r="AZ56">
        <f ca="1">IFERROR(IF(0=LEN(ReferenceData!$AZ$56),"",ReferenceData!$AZ$56),"")</f>
        <v>8671.7150000000001</v>
      </c>
      <c r="BA56">
        <f ca="1">IFERROR(IF(0=LEN(ReferenceData!$BA$56),"",ReferenceData!$BA$56),"")</f>
        <v>8885.9740000000002</v>
      </c>
      <c r="BB56">
        <f ca="1">IFERROR(IF(0=LEN(ReferenceData!$BB$56),"",ReferenceData!$BB$56),"")</f>
        <v>9001.98</v>
      </c>
      <c r="BC56">
        <f ca="1">IFERROR(IF(0=LEN(ReferenceData!$BC$56),"",ReferenceData!$BC$56),"")</f>
        <v>9059.2540000000008</v>
      </c>
      <c r="BD56">
        <f ca="1">IFERROR(IF(0=LEN(ReferenceData!$BD$56),"",ReferenceData!$BD$56),"")</f>
        <v>8969.1290000000008</v>
      </c>
      <c r="BE56">
        <f ca="1">IFERROR(IF(0=LEN(ReferenceData!$BE$56),"",ReferenceData!$BE$56),"")</f>
        <v>9240.2279999999992</v>
      </c>
      <c r="BF56">
        <f ca="1">IFERROR(IF(0=LEN(ReferenceData!$BF$56),"",ReferenceData!$BF$56),"")</f>
        <v>8432.0499999999993</v>
      </c>
      <c r="BG56">
        <f ca="1">IFERROR(IF(0=LEN(ReferenceData!$BG$56),"",ReferenceData!$BG$56),"")</f>
        <v>9061.5</v>
      </c>
      <c r="BH56">
        <f ca="1">IFERROR(IF(0=LEN(ReferenceData!$BH$56),"",ReferenceData!$BH$56),"")</f>
        <v>8466.5329999999994</v>
      </c>
      <c r="BI56">
        <f ca="1">IFERROR(IF(0=LEN(ReferenceData!$BI$56),"",ReferenceData!$BI$56),"")</f>
        <v>9013.9770000000008</v>
      </c>
      <c r="BJ56">
        <f ca="1">IFERROR(IF(0=LEN(ReferenceData!$BJ$56),"",ReferenceData!$BJ$56),"")</f>
        <v>9586.5220000000008</v>
      </c>
      <c r="BK56">
        <f ca="1">IFERROR(IF(0=LEN(ReferenceData!$BK$56),"",ReferenceData!$BK$56),"")</f>
        <v>9413.4159999999993</v>
      </c>
      <c r="BL56">
        <f ca="1">IFERROR(IF(0=LEN(ReferenceData!$BL$56),"",ReferenceData!$BL$56),"")</f>
        <v>8498.8040000000001</v>
      </c>
      <c r="BM56" t="str">
        <f ca="1">IFERROR(IF(0=LEN(ReferenceData!$BM$56),"",ReferenceData!$BM$56),"")</f>
        <v/>
      </c>
    </row>
    <row r="57" spans="1:65" x14ac:dyDescent="0.25">
      <c r="A57" t="str">
        <f>IFERROR(IF(0=LEN(ReferenceData!$A$57),"",ReferenceData!$A$57),"")</f>
        <v xml:space="preserve">                JPMorgan Chase &amp; Co</v>
      </c>
      <c r="B57" t="str">
        <f>IFERROR(IF(0=LEN(ReferenceData!$B$57),"",ReferenceData!$B$57),"")</f>
        <v>JPM US Equity</v>
      </c>
      <c r="C57" t="str">
        <f>IFERROR(IF(0=LEN(ReferenceData!$C$57),"",ReferenceData!$C$57),"")</f>
        <v>FC023</v>
      </c>
      <c r="D57" t="str">
        <f>IFERROR(IF(0=LEN(ReferenceData!$D$57),"",ReferenceData!$D$57),"")</f>
        <v>FDIC_TOTAL_SECURITIES</v>
      </c>
      <c r="E57" t="str">
        <f>IFERROR(IF(0=LEN(ReferenceData!$E$57),"",ReferenceData!$E$57),"")</f>
        <v>Dynamic</v>
      </c>
      <c r="F57">
        <f ca="1">IFERROR(IF(0=LEN(ReferenceData!$F$57),"",ReferenceData!$F$57),"")</f>
        <v>681423</v>
      </c>
      <c r="G57">
        <f ca="1">IFERROR(IF(0=LEN(ReferenceData!$G$57),"",ReferenceData!$G$57),"")</f>
        <v>634625</v>
      </c>
      <c r="H57">
        <f ca="1">IFERROR(IF(0=LEN(ReferenceData!$H$57),"",ReferenceData!$H$57),"")</f>
        <v>590123</v>
      </c>
      <c r="I57">
        <f ca="1">IFERROR(IF(0=LEN(ReferenceData!$I$57),"",ReferenceData!$I$57),"")</f>
        <v>570799</v>
      </c>
      <c r="J57">
        <f ca="1">IFERROR(IF(0=LEN(ReferenceData!$J$57),"",ReferenceData!$J$57),"")</f>
        <v>571646</v>
      </c>
      <c r="K57">
        <f ca="1">IFERROR(IF(0=LEN(ReferenceData!$K$57),"",ReferenceData!$K$57),"")</f>
        <v>585467</v>
      </c>
      <c r="L57">
        <f ca="1">IFERROR(IF(0=LEN(ReferenceData!$L$57),"",ReferenceData!$L$57),"")</f>
        <v>612277</v>
      </c>
      <c r="M57">
        <f ca="1">IFERROR(IF(0=LEN(ReferenceData!$M$57),"",ReferenceData!$M$57),"")</f>
        <v>610136</v>
      </c>
      <c r="N57">
        <f ca="1">IFERROR(IF(0=LEN(ReferenceData!$N$57),"",ReferenceData!$N$57),"")</f>
        <v>631229</v>
      </c>
      <c r="O57">
        <f ca="1">IFERROR(IF(0=LEN(ReferenceData!$O$57),"",ReferenceData!$O$57),"")</f>
        <v>618297</v>
      </c>
      <c r="P57">
        <f ca="1">IFERROR(IF(0=LEN(ReferenceData!$P$57),"",ReferenceData!$P$57),"")</f>
        <v>663765</v>
      </c>
      <c r="Q57">
        <f ca="1">IFERROR(IF(0=LEN(ReferenceData!$Q$57),"",ReferenceData!$Q$57),"")</f>
        <v>679499</v>
      </c>
      <c r="R57">
        <f ca="1">IFERROR(IF(0=LEN(ReferenceData!$R$57),"",ReferenceData!$R$57),"")</f>
        <v>672271</v>
      </c>
      <c r="S57">
        <f ca="1">IFERROR(IF(0=LEN(ReferenceData!$S$57),"",ReferenceData!$S$57),"")</f>
        <v>595202</v>
      </c>
      <c r="T57">
        <f ca="1">IFERROR(IF(0=LEN(ReferenceData!$T$57),"",ReferenceData!$T$57),"")</f>
        <v>573721</v>
      </c>
      <c r="U57">
        <f ca="1">IFERROR(IF(0=LEN(ReferenceData!$U$57),"",ReferenceData!$U$57),"")</f>
        <v>597488</v>
      </c>
      <c r="V57">
        <f ca="1">IFERROR(IF(0=LEN(ReferenceData!$V$57),"",ReferenceData!$V$57),"")</f>
        <v>590077</v>
      </c>
      <c r="W57">
        <f ca="1">IFERROR(IF(0=LEN(ReferenceData!$W$57),"",ReferenceData!$W$57),"")</f>
        <v>531256</v>
      </c>
      <c r="X57">
        <f ca="1">IFERROR(IF(0=LEN(ReferenceData!$X$57),"",ReferenceData!$X$57),"")</f>
        <v>558814</v>
      </c>
      <c r="Y57">
        <f ca="1">IFERROR(IF(0=LEN(ReferenceData!$Y$57),"",ReferenceData!$Y$57),"")</f>
        <v>471087</v>
      </c>
      <c r="Z57">
        <f ca="1">IFERROR(IF(0=LEN(ReferenceData!$Z$57),"",ReferenceData!$Z$57),"")</f>
        <v>398162</v>
      </c>
      <c r="AA57">
        <f ca="1">IFERROR(IF(0=LEN(ReferenceData!$AA$57),"",ReferenceData!$AA$57),"")</f>
        <v>394177</v>
      </c>
      <c r="AB57">
        <f ca="1">IFERROR(IF(0=LEN(ReferenceData!$AB$57),"",ReferenceData!$AB$57),"")</f>
        <v>307190</v>
      </c>
      <c r="AC57">
        <f ca="1">IFERROR(IF(0=LEN(ReferenceData!$AC$57),"",ReferenceData!$AC$57),"")</f>
        <v>267290</v>
      </c>
      <c r="AD57">
        <f ca="1">IFERROR(IF(0=LEN(ReferenceData!$AD$57),"",ReferenceData!$AD$57),"")</f>
        <v>261753</v>
      </c>
      <c r="AE57">
        <f ca="1">IFERROR(IF(0=LEN(ReferenceData!$AE$57),"",ReferenceData!$AE$57),"")</f>
        <v>231323</v>
      </c>
      <c r="AF57">
        <f ca="1">IFERROR(IF(0=LEN(ReferenceData!$AF$57),"",ReferenceData!$AF$57),"")</f>
        <v>232940</v>
      </c>
      <c r="AG57">
        <f ca="1">IFERROR(IF(0=LEN(ReferenceData!$AG$57),"",ReferenceData!$AG$57),"")</f>
        <v>238128</v>
      </c>
      <c r="AH57">
        <f ca="1">IFERROR(IF(0=LEN(ReferenceData!$AH$57),"",ReferenceData!$AH$57),"")</f>
        <v>249899</v>
      </c>
      <c r="AI57">
        <f ca="1">IFERROR(IF(0=LEN(ReferenceData!$AI$57),"",ReferenceData!$AI$57),"")</f>
        <v>263230</v>
      </c>
      <c r="AJ57">
        <f ca="1">IFERROR(IF(0=LEN(ReferenceData!$AJ$57),"",ReferenceData!$AJ$57),"")</f>
        <v>263401</v>
      </c>
      <c r="AK57">
        <f ca="1">IFERROR(IF(0=LEN(ReferenceData!$AK$57),"",ReferenceData!$AK$57),"")</f>
        <v>281792</v>
      </c>
      <c r="AL57">
        <f ca="1">IFERROR(IF(0=LEN(ReferenceData!$AL$57),"",ReferenceData!$AL$57),"")</f>
        <v>288953</v>
      </c>
      <c r="AM57">
        <f ca="1">IFERROR(IF(0=LEN(ReferenceData!$AM$57),"",ReferenceData!$AM$57),"")</f>
        <v>272293</v>
      </c>
      <c r="AN57">
        <f ca="1">IFERROR(IF(0=LEN(ReferenceData!$AN$57),"",ReferenceData!$AN$57),"")</f>
        <v>278504</v>
      </c>
      <c r="AO57">
        <f ca="1">IFERROR(IF(0=LEN(ReferenceData!$AO$57),"",ReferenceData!$AO$57),"")</f>
        <v>285270</v>
      </c>
      <c r="AP57">
        <f ca="1">IFERROR(IF(0=LEN(ReferenceData!$AP$57),"",ReferenceData!$AP$57),"")</f>
        <v>290544</v>
      </c>
      <c r="AQ57">
        <f ca="1">IFERROR(IF(0=LEN(ReferenceData!$AQ$57),"",ReferenceData!$AQ$57),"")</f>
        <v>306242</v>
      </c>
      <c r="AR57">
        <f ca="1">IFERROR(IF(0=LEN(ReferenceData!$AR$57),"",ReferenceData!$AR$57),"")</f>
        <v>317366</v>
      </c>
      <c r="AS57">
        <f ca="1">IFERROR(IF(0=LEN(ReferenceData!$AS$57),"",ReferenceData!$AS$57),"")</f>
        <v>330113</v>
      </c>
      <c r="AT57">
        <f ca="1">IFERROR(IF(0=LEN(ReferenceData!$AT$57),"",ReferenceData!$AT$57),"")</f>
        <v>346901</v>
      </c>
      <c r="AU57">
        <f ca="1">IFERROR(IF(0=LEN(ReferenceData!$AU$57),"",ReferenceData!$AU$57),"")</f>
        <v>365050</v>
      </c>
      <c r="AV57">
        <f ca="1">IFERROR(IF(0=LEN(ReferenceData!$AV$57),"",ReferenceData!$AV$57),"")</f>
        <v>360508</v>
      </c>
      <c r="AW57">
        <f ca="1">IFERROR(IF(0=LEN(ReferenceData!$AW$57),"",ReferenceData!$AW$57),"")</f>
        <v>350339</v>
      </c>
      <c r="AX57">
        <f ca="1">IFERROR(IF(0=LEN(ReferenceData!$AX$57),"",ReferenceData!$AX$57),"")</f>
        <v>352962</v>
      </c>
      <c r="AY57">
        <f ca="1">IFERROR(IF(0=LEN(ReferenceData!$AY$57),"",ReferenceData!$AY$57),"")</f>
        <v>355609</v>
      </c>
      <c r="AZ57">
        <f ca="1">IFERROR(IF(0=LEN(ReferenceData!$AZ$57),"",ReferenceData!$AZ$57),"")</f>
        <v>353137</v>
      </c>
      <c r="BA57">
        <f ca="1">IFERROR(IF(0=LEN(ReferenceData!$BA$57),"",ReferenceData!$BA$57),"")</f>
        <v>363365</v>
      </c>
      <c r="BB57">
        <f ca="1">IFERROR(IF(0=LEN(ReferenceData!$BB$57),"",ReferenceData!$BB$57),"")</f>
        <v>368369</v>
      </c>
      <c r="BC57">
        <f ca="1">IFERROR(IF(0=LEN(ReferenceData!$BC$57),"",ReferenceData!$BC$57),"")</f>
        <v>362367</v>
      </c>
      <c r="BD57">
        <f ca="1">IFERROR(IF(0=LEN(ReferenceData!$BD$57),"",ReferenceData!$BD$57),"")</f>
        <v>351602</v>
      </c>
      <c r="BE57">
        <f ca="1">IFERROR(IF(0=LEN(ReferenceData!$BE$57),"",ReferenceData!$BE$57),"")</f>
        <v>378698</v>
      </c>
      <c r="BF57">
        <f ca="1">IFERROR(IF(0=LEN(ReferenceData!$BF$57),"",ReferenceData!$BF$57),"")</f>
        <v>361776</v>
      </c>
      <c r="BG57">
        <f ca="1">IFERROR(IF(0=LEN(ReferenceData!$BG$57),"",ReferenceData!$BG$57),"")</f>
        <v>334376</v>
      </c>
      <c r="BH57">
        <f ca="1">IFERROR(IF(0=LEN(ReferenceData!$BH$57),"",ReferenceData!$BH$57),"")</f>
        <v>319880</v>
      </c>
      <c r="BI57">
        <f ca="1">IFERROR(IF(0=LEN(ReferenceData!$BI$57),"",ReferenceData!$BI$57),"")</f>
        <v>331311</v>
      </c>
      <c r="BJ57">
        <f ca="1">IFERROR(IF(0=LEN(ReferenceData!$BJ$57),"",ReferenceData!$BJ$57),"")</f>
        <v>312689</v>
      </c>
      <c r="BK57">
        <f ca="1">IFERROR(IF(0=LEN(ReferenceData!$BK$57),"",ReferenceData!$BK$57),"")</f>
        <v>337296</v>
      </c>
      <c r="BL57">
        <f ca="1">IFERROR(IF(0=LEN(ReferenceData!$BL$57),"",ReferenceData!$BL$57),"")</f>
        <v>309775</v>
      </c>
      <c r="BM57" t="str">
        <f ca="1">IFERROR(IF(0=LEN(ReferenceData!$BM$57),"",ReferenceData!$BM$57),"")</f>
        <v/>
      </c>
    </row>
    <row r="58" spans="1:65" x14ac:dyDescent="0.25">
      <c r="A58" t="str">
        <f>IFERROR(IF(0=LEN(ReferenceData!$A$58),"",ReferenceData!$A$58),"")</f>
        <v xml:space="preserve">                KeyCorp</v>
      </c>
      <c r="B58" t="str">
        <f>IFERROR(IF(0=LEN(ReferenceData!$B$58),"",ReferenceData!$B$58),"")</f>
        <v>KEY US Equity</v>
      </c>
      <c r="C58" t="str">
        <f>IFERROR(IF(0=LEN(ReferenceData!$C$58),"",ReferenceData!$C$58),"")</f>
        <v>FC023</v>
      </c>
      <c r="D58" t="str">
        <f>IFERROR(IF(0=LEN(ReferenceData!$D$58),"",ReferenceData!$D$58),"")</f>
        <v>FDIC_TOTAL_SECURITIES</v>
      </c>
      <c r="E58" t="str">
        <f>IFERROR(IF(0=LEN(ReferenceData!$E$58),"",ReferenceData!$E$58),"")</f>
        <v>Dynamic</v>
      </c>
      <c r="F58">
        <f ca="1">IFERROR(IF(0=LEN(ReferenceData!$F$58),"",ReferenceData!$F$58),"")</f>
        <v>45101.68</v>
      </c>
      <c r="G58">
        <f ca="1">IFERROR(IF(0=LEN(ReferenceData!$G$58),"",ReferenceData!$G$58),"")</f>
        <v>41871.544000000002</v>
      </c>
      <c r="H58">
        <f ca="1">IFERROR(IF(0=LEN(ReferenceData!$H$58),"",ReferenceData!$H$58),"")</f>
        <v>45427.466999999997</v>
      </c>
      <c r="I58">
        <f ca="1">IFERROR(IF(0=LEN(ReferenceData!$I$58),"",ReferenceData!$I$58),"")</f>
        <v>45569.334000000003</v>
      </c>
      <c r="J58">
        <f ca="1">IFERROR(IF(0=LEN(ReferenceData!$J$58),"",ReferenceData!$J$58),"")</f>
        <v>45760.749000000003</v>
      </c>
      <c r="K58">
        <f ca="1">IFERROR(IF(0=LEN(ReferenceData!$K$58),"",ReferenceData!$K$58),"")</f>
        <v>44692.523000000001</v>
      </c>
      <c r="L58">
        <f ca="1">IFERROR(IF(0=LEN(ReferenceData!$L$58),"",ReferenceData!$L$58),"")</f>
        <v>47096.156999999999</v>
      </c>
      <c r="M58">
        <f ca="1">IFERROR(IF(0=LEN(ReferenceData!$M$58),"",ReferenceData!$M$58),"")</f>
        <v>49058.483999999997</v>
      </c>
      <c r="N58">
        <f ca="1">IFERROR(IF(0=LEN(ReferenceData!$N$58),"",ReferenceData!$N$58),"")</f>
        <v>47826.631000000001</v>
      </c>
      <c r="O58">
        <f ca="1">IFERROR(IF(0=LEN(ReferenceData!$O$58),"",ReferenceData!$O$58),"")</f>
        <v>48163.311999999998</v>
      </c>
      <c r="P58">
        <f ca="1">IFERROR(IF(0=LEN(ReferenceData!$P$58),"",ReferenceData!$P$58),"")</f>
        <v>50622.451999999997</v>
      </c>
      <c r="Q58">
        <f ca="1">IFERROR(IF(0=LEN(ReferenceData!$Q$58),"",ReferenceData!$Q$58),"")</f>
        <v>50552.61</v>
      </c>
      <c r="R58">
        <f ca="1">IFERROR(IF(0=LEN(ReferenceData!$R$58),"",ReferenceData!$R$58),"")</f>
        <v>52903.764000000003</v>
      </c>
      <c r="S58">
        <f ca="1">IFERROR(IF(0=LEN(ReferenceData!$S$58),"",ReferenceData!$S$58),"")</f>
        <v>49016.684000000001</v>
      </c>
      <c r="T58">
        <f ca="1">IFERROR(IF(0=LEN(ReferenceData!$T$58),"",ReferenceData!$T$58),"")</f>
        <v>40813.052000000003</v>
      </c>
      <c r="U58">
        <f ca="1">IFERROR(IF(0=LEN(ReferenceData!$U$58),"",ReferenceData!$U$58),"")</f>
        <v>40779.788</v>
      </c>
      <c r="V58">
        <f ca="1">IFERROR(IF(0=LEN(ReferenceData!$V$58),"",ReferenceData!$V$58),"")</f>
        <v>35151.462</v>
      </c>
      <c r="W58">
        <f ca="1">IFERROR(IF(0=LEN(ReferenceData!$W$58),"",ReferenceData!$W$58),"")</f>
        <v>36279.428</v>
      </c>
      <c r="X58">
        <f ca="1">IFERROR(IF(0=LEN(ReferenceData!$X$58),"",ReferenceData!$X$58),"")</f>
        <v>32675.236000000001</v>
      </c>
      <c r="Y58">
        <f ca="1">IFERROR(IF(0=LEN(ReferenceData!$Y$58),"",ReferenceData!$Y$58),"")</f>
        <v>30445.383999999998</v>
      </c>
      <c r="Z58">
        <f ca="1">IFERROR(IF(0=LEN(ReferenceData!$Z$58),"",ReferenceData!$Z$58),"")</f>
        <v>31909.654999999999</v>
      </c>
      <c r="AA58">
        <f ca="1">IFERROR(IF(0=LEN(ReferenceData!$AA$58),"",ReferenceData!$AA$58),"")</f>
        <v>32867.71</v>
      </c>
      <c r="AB58">
        <f ca="1">IFERROR(IF(0=LEN(ReferenceData!$AB$58),"",ReferenceData!$AB$58),"")</f>
        <v>32406.241999999998</v>
      </c>
      <c r="AC58">
        <f ca="1">IFERROR(IF(0=LEN(ReferenceData!$AC$58),"",ReferenceData!$AC$58),"")</f>
        <v>32087.847000000002</v>
      </c>
      <c r="AD58">
        <f ca="1">IFERROR(IF(0=LEN(ReferenceData!$AD$58),"",ReferenceData!$AD$58),"")</f>
        <v>30946.788</v>
      </c>
      <c r="AE58">
        <f ca="1">IFERROR(IF(0=LEN(ReferenceData!$AE$58),"",ReferenceData!$AE$58),"")</f>
        <v>30211.076000000001</v>
      </c>
      <c r="AF58">
        <f ca="1">IFERROR(IF(0=LEN(ReferenceData!$AF$58),"",ReferenceData!$AF$58),"")</f>
        <v>29644.917000000001</v>
      </c>
      <c r="AG58">
        <f ca="1">IFERROR(IF(0=LEN(ReferenceData!$AG$58),"",ReferenceData!$AG$58),"")</f>
        <v>30078.173999999999</v>
      </c>
      <c r="AH58">
        <f ca="1">IFERROR(IF(0=LEN(ReferenceData!$AH$58),"",ReferenceData!$AH$58),"")</f>
        <v>29970.674999999999</v>
      </c>
      <c r="AI58">
        <f ca="1">IFERROR(IF(0=LEN(ReferenceData!$AI$58),"",ReferenceData!$AI$58),"")</f>
        <v>29288.106</v>
      </c>
      <c r="AJ58">
        <f ca="1">IFERROR(IF(0=LEN(ReferenceData!$AJ$58),"",ReferenceData!$AJ$58),"")</f>
        <v>28662.569</v>
      </c>
      <c r="AK58">
        <f ca="1">IFERROR(IF(0=LEN(ReferenceData!$AK$58),"",ReferenceData!$AK$58),"")</f>
        <v>28618.417000000001</v>
      </c>
      <c r="AL58">
        <f ca="1">IFERROR(IF(0=LEN(ReferenceData!$AL$58),"",ReferenceData!$AL$58),"")</f>
        <v>30444.294000000002</v>
      </c>
      <c r="AM58">
        <f ca="1">IFERROR(IF(0=LEN(ReferenceData!$AM$58),"",ReferenceData!$AM$58),"")</f>
        <v>29535.811000000002</v>
      </c>
      <c r="AN58">
        <f ca="1">IFERROR(IF(0=LEN(ReferenceData!$AN$58),"",ReferenceData!$AN$58),"")</f>
        <v>19384.282999999999</v>
      </c>
      <c r="AO58">
        <f ca="1">IFERROR(IF(0=LEN(ReferenceData!$AO$58),"",ReferenceData!$AO$58),"")</f>
        <v>19307.97</v>
      </c>
      <c r="AP58">
        <f ca="1">IFERROR(IF(0=LEN(ReferenceData!$AP$58),"",ReferenceData!$AP$58),"")</f>
        <v>19115.95</v>
      </c>
      <c r="AQ58">
        <f ca="1">IFERROR(IF(0=LEN(ReferenceData!$AQ$58),"",ReferenceData!$AQ$58),"")</f>
        <v>19312.883000000002</v>
      </c>
      <c r="AR58">
        <f ca="1">IFERROR(IF(0=LEN(ReferenceData!$AR$58),"",ReferenceData!$AR$58),"")</f>
        <v>19266.821</v>
      </c>
      <c r="AS58">
        <f ca="1">IFERROR(IF(0=LEN(ReferenceData!$AS$58),"",ReferenceData!$AS$58),"")</f>
        <v>18125.915000000001</v>
      </c>
      <c r="AT58">
        <f ca="1">IFERROR(IF(0=LEN(ReferenceData!$AT$58),"",ReferenceData!$AT$58),"")</f>
        <v>18375.580999999998</v>
      </c>
      <c r="AU58">
        <f ca="1">IFERROR(IF(0=LEN(ReferenceData!$AU$58),"",ReferenceData!$AU$58),"")</f>
        <v>17242.618999999999</v>
      </c>
      <c r="AV58">
        <f ca="1">IFERROR(IF(0=LEN(ReferenceData!$AV$58),"",ReferenceData!$AV$58),"")</f>
        <v>17457.010999999999</v>
      </c>
      <c r="AW58">
        <f ca="1">IFERROR(IF(0=LEN(ReferenceData!$AW$58),"",ReferenceData!$AW$58),"")</f>
        <v>17184.407999999999</v>
      </c>
      <c r="AX58">
        <f ca="1">IFERROR(IF(0=LEN(ReferenceData!$AX$58),"",ReferenceData!$AX$58),"")</f>
        <v>17102.199000000001</v>
      </c>
      <c r="AY58">
        <f ca="1">IFERROR(IF(0=LEN(ReferenceData!$AY$58),"",ReferenceData!$AY$58),"")</f>
        <v>17441.260999999999</v>
      </c>
      <c r="AZ58">
        <f ca="1">IFERROR(IF(0=LEN(ReferenceData!$AZ$58),"",ReferenceData!$AZ$58),"")</f>
        <v>18002.858</v>
      </c>
      <c r="BA58">
        <f ca="1">IFERROR(IF(0=LEN(ReferenceData!$BA$58),"",ReferenceData!$BA$58),"")</f>
        <v>17217.502</v>
      </c>
      <c r="BB58">
        <f ca="1">IFERROR(IF(0=LEN(ReferenceData!$BB$58),"",ReferenceData!$BB$58),"")</f>
        <v>16025.14</v>
      </c>
      <c r="BC58">
        <f ca="1">IFERROR(IF(0=LEN(ReferenceData!$BC$58),"",ReferenceData!$BC$58),"")</f>
        <v>16114.743</v>
      </c>
      <c r="BD58">
        <f ca="1">IFERROR(IF(0=LEN(ReferenceData!$BD$58),"",ReferenceData!$BD$58),"")</f>
        <v>17557.204000000002</v>
      </c>
      <c r="BE58">
        <f ca="1">IFERROR(IF(0=LEN(ReferenceData!$BE$58),"",ReferenceData!$BE$58),"")</f>
        <v>17651.486000000001</v>
      </c>
      <c r="BF58">
        <f ca="1">IFERROR(IF(0=LEN(ReferenceData!$BF$58),"",ReferenceData!$BF$58),"")</f>
        <v>18121.199000000001</v>
      </c>
      <c r="BG58">
        <f ca="1">IFERROR(IF(0=LEN(ReferenceData!$BG$58),"",ReferenceData!$BG$58),"")</f>
        <v>18787.642</v>
      </c>
      <c r="BH58">
        <f ca="1">IFERROR(IF(0=LEN(ReferenceData!$BH$58),"",ReferenceData!$BH$58),"")</f>
        <v>18698.998</v>
      </c>
      <c r="BI58">
        <f ca="1">IFERROR(IF(0=LEN(ReferenceData!$BI$58),"",ReferenceData!$BI$58),"")</f>
        <v>19466.971000000001</v>
      </c>
      <c r="BJ58">
        <f ca="1">IFERROR(IF(0=LEN(ReferenceData!$BJ$58),"",ReferenceData!$BJ$58),"")</f>
        <v>21949.793000000001</v>
      </c>
      <c r="BK58">
        <f ca="1">IFERROR(IF(0=LEN(ReferenceData!$BK$58),"",ReferenceData!$BK$58),"")</f>
        <v>21259.007000000001</v>
      </c>
      <c r="BL58">
        <f ca="1">IFERROR(IF(0=LEN(ReferenceData!$BL$58),"",ReferenceData!$BL$58),"")</f>
        <v>19791.434000000001</v>
      </c>
      <c r="BM58" t="str">
        <f ca="1">IFERROR(IF(0=LEN(ReferenceData!$BM$58),"",ReferenceData!$BM$58),"")</f>
        <v/>
      </c>
    </row>
    <row r="59" spans="1:65" x14ac:dyDescent="0.25">
      <c r="A59" t="str">
        <f>IFERROR(IF(0=LEN(ReferenceData!$A$59),"",ReferenceData!$A$59),"")</f>
        <v xml:space="preserve">                M&amp;T Bank Corp</v>
      </c>
      <c r="B59" t="str">
        <f>IFERROR(IF(0=LEN(ReferenceData!$B$59),"",ReferenceData!$B$59),"")</f>
        <v>MTB US Equity</v>
      </c>
      <c r="C59" t="str">
        <f>IFERROR(IF(0=LEN(ReferenceData!$C$59),"",ReferenceData!$C$59),"")</f>
        <v>FC023</v>
      </c>
      <c r="D59" t="str">
        <f>IFERROR(IF(0=LEN(ReferenceData!$D$59),"",ReferenceData!$D$59),"")</f>
        <v>FDIC_TOTAL_SECURITIES</v>
      </c>
      <c r="E59" t="str">
        <f>IFERROR(IF(0=LEN(ReferenceData!$E$59),"",ReferenceData!$E$59),"")</f>
        <v>Dynamic</v>
      </c>
      <c r="F59">
        <f ca="1">IFERROR(IF(0=LEN(ReferenceData!$F$59),"",ReferenceData!$F$59),"")</f>
        <v>33046.788</v>
      </c>
      <c r="G59">
        <f ca="1">IFERROR(IF(0=LEN(ReferenceData!$G$59),"",ReferenceData!$G$59),"")</f>
        <v>31232.118999999999</v>
      </c>
      <c r="H59">
        <f ca="1">IFERROR(IF(0=LEN(ReferenceData!$H$59),"",ReferenceData!$H$59),"")</f>
        <v>28686.784</v>
      </c>
      <c r="I59">
        <f ca="1">IFERROR(IF(0=LEN(ReferenceData!$I$59),"",ReferenceData!$I$59),"")</f>
        <v>27213.850999999999</v>
      </c>
      <c r="J59">
        <f ca="1">IFERROR(IF(0=LEN(ReferenceData!$J$59),"",ReferenceData!$J$59),"")</f>
        <v>25772.161</v>
      </c>
      <c r="K59">
        <f ca="1">IFERROR(IF(0=LEN(ReferenceData!$K$59),"",ReferenceData!$K$59),"")</f>
        <v>26165.528999999999</v>
      </c>
      <c r="L59">
        <f ca="1">IFERROR(IF(0=LEN(ReferenceData!$L$59),"",ReferenceData!$L$59),"")</f>
        <v>26727.764999999999</v>
      </c>
      <c r="M59">
        <f ca="1">IFERROR(IF(0=LEN(ReferenceData!$M$59),"",ReferenceData!$M$59),"")</f>
        <v>27242.492999999999</v>
      </c>
      <c r="N59">
        <f ca="1">IFERROR(IF(0=LEN(ReferenceData!$N$59),"",ReferenceData!$N$59),"")</f>
        <v>24280.93</v>
      </c>
      <c r="O59">
        <f ca="1">IFERROR(IF(0=LEN(ReferenceData!$O$59),"",ReferenceData!$O$59),"")</f>
        <v>23771.207999999999</v>
      </c>
      <c r="P59">
        <f ca="1">IFERROR(IF(0=LEN(ReferenceData!$P$59),"",ReferenceData!$P$59),"")</f>
        <v>22080.126</v>
      </c>
      <c r="Q59">
        <f ca="1">IFERROR(IF(0=LEN(ReferenceData!$Q$59),"",ReferenceData!$Q$59),"")</f>
        <v>8885.8250000000007</v>
      </c>
      <c r="R59">
        <f ca="1">IFERROR(IF(0=LEN(ReferenceData!$R$59),"",ReferenceData!$R$59),"")</f>
        <v>6690.4780000000001</v>
      </c>
      <c r="S59">
        <f ca="1">IFERROR(IF(0=LEN(ReferenceData!$S$59),"",ReferenceData!$S$59),"")</f>
        <v>5977.8329999999996</v>
      </c>
      <c r="T59">
        <f ca="1">IFERROR(IF(0=LEN(ReferenceData!$T$59),"",ReferenceData!$T$59),"")</f>
        <v>5677.9809999999998</v>
      </c>
      <c r="U59">
        <f ca="1">IFERROR(IF(0=LEN(ReferenceData!$U$59),"",ReferenceData!$U$59),"")</f>
        <v>6142.5720000000001</v>
      </c>
      <c r="V59">
        <f ca="1">IFERROR(IF(0=LEN(ReferenceData!$V$59),"",ReferenceData!$V$59),"")</f>
        <v>6571.5950000000003</v>
      </c>
      <c r="W59">
        <f ca="1">IFERROR(IF(0=LEN(ReferenceData!$W$59),"",ReferenceData!$W$59),"")</f>
        <v>7241.0320000000002</v>
      </c>
      <c r="X59">
        <f ca="1">IFERROR(IF(0=LEN(ReferenceData!$X$59),"",ReferenceData!$X$59),"")</f>
        <v>7980.2560000000003</v>
      </c>
      <c r="Y59">
        <f ca="1">IFERROR(IF(0=LEN(ReferenceData!$Y$59),"",ReferenceData!$Y$59),"")</f>
        <v>8440.6209999999992</v>
      </c>
      <c r="Z59">
        <f ca="1">IFERROR(IF(0=LEN(ReferenceData!$Z$59),"",ReferenceData!$Z$59),"")</f>
        <v>8975.6929999999993</v>
      </c>
      <c r="AA59">
        <f ca="1">IFERROR(IF(0=LEN(ReferenceData!$AA$59),"",ReferenceData!$AA$59),"")</f>
        <v>10016.716</v>
      </c>
      <c r="AB59">
        <f ca="1">IFERROR(IF(0=LEN(ReferenceData!$AB$59),"",ReferenceData!$AB$59),"")</f>
        <v>10984.573</v>
      </c>
      <c r="AC59">
        <f ca="1">IFERROR(IF(0=LEN(ReferenceData!$AC$59),"",ReferenceData!$AC$59),"")</f>
        <v>12040.282999999999</v>
      </c>
      <c r="AD59">
        <f ca="1">IFERROR(IF(0=LEN(ReferenceData!$AD$59),"",ReferenceData!$AD$59),"")</f>
        <v>11999.148999999999</v>
      </c>
      <c r="AE59">
        <f ca="1">IFERROR(IF(0=LEN(ReferenceData!$AE$59),"",ReferenceData!$AE$59),"")</f>
        <v>12573.234</v>
      </c>
      <c r="AF59">
        <f ca="1">IFERROR(IF(0=LEN(ReferenceData!$AF$59),"",ReferenceData!$AF$59),"")</f>
        <v>12759.941000000001</v>
      </c>
      <c r="AG59">
        <f ca="1">IFERROR(IF(0=LEN(ReferenceData!$AG$59),"",ReferenceData!$AG$59),"")</f>
        <v>13526.611999999999</v>
      </c>
      <c r="AH59">
        <f ca="1">IFERROR(IF(0=LEN(ReferenceData!$AH$59),"",ReferenceData!$AH$59),"")</f>
        <v>14249.496999999999</v>
      </c>
      <c r="AI59">
        <f ca="1">IFERROR(IF(0=LEN(ReferenceData!$AI$59),"",ReferenceData!$AI$59),"")</f>
        <v>14658.210999999999</v>
      </c>
      <c r="AJ59">
        <f ca="1">IFERROR(IF(0=LEN(ReferenceData!$AJ$59),"",ReferenceData!$AJ$59),"")</f>
        <v>15316.383</v>
      </c>
      <c r="AK59">
        <f ca="1">IFERROR(IF(0=LEN(ReferenceData!$AK$59),"",ReferenceData!$AK$59),"")</f>
        <v>15506.337</v>
      </c>
      <c r="AL59">
        <f ca="1">IFERROR(IF(0=LEN(ReferenceData!$AL$59),"",ReferenceData!$AL$59),"")</f>
        <v>15788.643</v>
      </c>
      <c r="AM59">
        <f ca="1">IFERROR(IF(0=LEN(ReferenceData!$AM$59),"",ReferenceData!$AM$59),"")</f>
        <v>14271.812</v>
      </c>
      <c r="AN59">
        <f ca="1">IFERROR(IF(0=LEN(ReferenceData!$AN$59),"",ReferenceData!$AN$59),"")</f>
        <v>14492.683999999999</v>
      </c>
      <c r="AO59">
        <f ca="1">IFERROR(IF(0=LEN(ReferenceData!$AO$59),"",ReferenceData!$AO$59),"")</f>
        <v>14930.563</v>
      </c>
      <c r="AP59">
        <f ca="1">IFERROR(IF(0=LEN(ReferenceData!$AP$59),"",ReferenceData!$AP$59),"")</f>
        <v>15101.674000000001</v>
      </c>
      <c r="AQ59">
        <f ca="1">IFERROR(IF(0=LEN(ReferenceData!$AQ$59),"",ReferenceData!$AQ$59),"")</f>
        <v>14157.275</v>
      </c>
      <c r="AR59">
        <f ca="1">IFERROR(IF(0=LEN(ReferenceData!$AR$59),"",ReferenceData!$AR$59),"")</f>
        <v>14414.701999999999</v>
      </c>
      <c r="AS59">
        <f ca="1">IFERROR(IF(0=LEN(ReferenceData!$AS$59),"",ReferenceData!$AS$59),"")</f>
        <v>14063.803</v>
      </c>
      <c r="AT59">
        <f ca="1">IFERROR(IF(0=LEN(ReferenceData!$AT$59),"",ReferenceData!$AT$59),"")</f>
        <v>12664.25</v>
      </c>
      <c r="AU59">
        <f ca="1">IFERROR(IF(0=LEN(ReferenceData!$AU$59),"",ReferenceData!$AU$59),"")</f>
        <v>13019.302</v>
      </c>
      <c r="AV59">
        <f ca="1">IFERROR(IF(0=LEN(ReferenceData!$AV$59),"",ReferenceData!$AV$59),"")</f>
        <v>11768.924999999999</v>
      </c>
      <c r="AW59">
        <f ca="1">IFERROR(IF(0=LEN(ReferenceData!$AW$59),"",ReferenceData!$AW$59),"")</f>
        <v>10065.027</v>
      </c>
      <c r="AX59">
        <f ca="1">IFERROR(IF(0=LEN(ReferenceData!$AX$59),"",ReferenceData!$AX$59),"")</f>
        <v>8497.39</v>
      </c>
      <c r="AY59">
        <f ca="1">IFERROR(IF(0=LEN(ReferenceData!$AY$59),"",ReferenceData!$AY$59),"")</f>
        <v>8009.5450000000001</v>
      </c>
      <c r="AZ59">
        <f ca="1">IFERROR(IF(0=LEN(ReferenceData!$AZ$59),"",ReferenceData!$AZ$59),"")</f>
        <v>4903.0280000000002</v>
      </c>
      <c r="BA59">
        <f ca="1">IFERROR(IF(0=LEN(ReferenceData!$BA$59),"",ReferenceData!$BA$59),"")</f>
        <v>5358.1109999999999</v>
      </c>
      <c r="BB59">
        <f ca="1">IFERROR(IF(0=LEN(ReferenceData!$BB$59),"",ReferenceData!$BB$59),"")</f>
        <v>5769.9189999999999</v>
      </c>
      <c r="BC59">
        <f ca="1">IFERROR(IF(0=LEN(ReferenceData!$BC$59),"",ReferenceData!$BC$59),"")</f>
        <v>6303.3109999999997</v>
      </c>
      <c r="BD59">
        <f ca="1">IFERROR(IF(0=LEN(ReferenceData!$BD$59),"",ReferenceData!$BD$59),"")</f>
        <v>6720.4830000000002</v>
      </c>
      <c r="BE59">
        <f ca="1">IFERROR(IF(0=LEN(ReferenceData!$BE$59),"",ReferenceData!$BE$59),"")</f>
        <v>6836.3220000000001</v>
      </c>
      <c r="BF59">
        <f ca="1">IFERROR(IF(0=LEN(ReferenceData!$BF$59),"",ReferenceData!$BF$59),"")</f>
        <v>7304.299</v>
      </c>
      <c r="BG59">
        <f ca="1">IFERROR(IF(0=LEN(ReferenceData!$BG$59),"",ReferenceData!$BG$59),"")</f>
        <v>6795.3469999999998</v>
      </c>
      <c r="BH59">
        <f ca="1">IFERROR(IF(0=LEN(ReferenceData!$BH$59),"",ReferenceData!$BH$59),"")</f>
        <v>6107.6930000000002</v>
      </c>
      <c r="BI59">
        <f ca="1">IFERROR(IF(0=LEN(ReferenceData!$BI$59),"",ReferenceData!$BI$59),"")</f>
        <v>6115.1559999999999</v>
      </c>
      <c r="BJ59">
        <f ca="1">IFERROR(IF(0=LEN(ReferenceData!$BJ$59),"",ReferenceData!$BJ$59),"")</f>
        <v>6735.9080000000004</v>
      </c>
      <c r="BK59">
        <f ca="1">IFERROR(IF(0=LEN(ReferenceData!$BK$59),"",ReferenceData!$BK$59),"")</f>
        <v>7206.9309999999996</v>
      </c>
      <c r="BL59">
        <f ca="1">IFERROR(IF(0=LEN(ReferenceData!$BL$59),"",ReferenceData!$BL$59),"")</f>
        <v>7629.3490000000002</v>
      </c>
      <c r="BM59" t="str">
        <f ca="1">IFERROR(IF(0=LEN(ReferenceData!$BM$59),"",ReferenceData!$BM$59),"")</f>
        <v/>
      </c>
    </row>
    <row r="60" spans="1:65" x14ac:dyDescent="0.25">
      <c r="A60" t="str">
        <f>IFERROR(IF(0=LEN(ReferenceData!$A$60),"",ReferenceData!$A$60),"")</f>
        <v xml:space="preserve">                PNC Financial Services Group I</v>
      </c>
      <c r="B60" t="str">
        <f>IFERROR(IF(0=LEN(ReferenceData!$B$60),"",ReferenceData!$B$60),"")</f>
        <v>PNC US Equity</v>
      </c>
      <c r="C60" t="str">
        <f>IFERROR(IF(0=LEN(ReferenceData!$C$60),"",ReferenceData!$C$60),"")</f>
        <v>FC023</v>
      </c>
      <c r="D60" t="str">
        <f>IFERROR(IF(0=LEN(ReferenceData!$D$60),"",ReferenceData!$D$60),"")</f>
        <v>FDIC_TOTAL_SECURITIES</v>
      </c>
      <c r="E60" t="str">
        <f>IFERROR(IF(0=LEN(ReferenceData!$E$60),"",ReferenceData!$E$60),"")</f>
        <v>Dynamic</v>
      </c>
      <c r="F60" t="str">
        <f ca="1">IFERROR(IF(0=LEN(ReferenceData!$F$60),"",ReferenceData!$F$60),"")</f>
        <v/>
      </c>
      <c r="G60">
        <f ca="1">IFERROR(IF(0=LEN(ReferenceData!$G$60),"",ReferenceData!$G$60),"")</f>
        <v>144188.23699999999</v>
      </c>
      <c r="H60">
        <f ca="1">IFERROR(IF(0=LEN(ReferenceData!$H$60),"",ReferenceData!$H$60),"")</f>
        <v>138649.98800000001</v>
      </c>
      <c r="I60">
        <f ca="1">IFERROR(IF(0=LEN(ReferenceData!$I$60),"",ReferenceData!$I$60),"")</f>
        <v>130465.18799999999</v>
      </c>
      <c r="J60">
        <f ca="1">IFERROR(IF(0=LEN(ReferenceData!$J$60),"",ReferenceData!$J$60),"")</f>
        <v>132574.51</v>
      </c>
      <c r="K60">
        <f ca="1">IFERROR(IF(0=LEN(ReferenceData!$K$60),"",ReferenceData!$K$60),"")</f>
        <v>132392.774</v>
      </c>
      <c r="L60">
        <f ca="1">IFERROR(IF(0=LEN(ReferenceData!$L$60),"",ReferenceData!$L$60),"")</f>
        <v>135666.88200000001</v>
      </c>
      <c r="M60">
        <f ca="1">IFERROR(IF(0=LEN(ReferenceData!$M$60),"",ReferenceData!$M$60),"")</f>
        <v>138245.565</v>
      </c>
      <c r="N60">
        <f ca="1">IFERROR(IF(0=LEN(ReferenceData!$N$60),"",ReferenceData!$N$60),"")</f>
        <v>139341.296</v>
      </c>
      <c r="O60">
        <f ca="1">IFERROR(IF(0=LEN(ReferenceData!$O$60),"",ReferenceData!$O$60),"")</f>
        <v>136458.48699999999</v>
      </c>
      <c r="P60">
        <f ca="1">IFERROR(IF(0=LEN(ReferenceData!$P$60),"",ReferenceData!$P$60),"")</f>
        <v>132736.258</v>
      </c>
      <c r="Q60">
        <f ca="1">IFERROR(IF(0=LEN(ReferenceData!$Q$60),"",ReferenceData!$Q$60),"")</f>
        <v>132414.40100000001</v>
      </c>
      <c r="R60">
        <f ca="1">IFERROR(IF(0=LEN(ReferenceData!$R$60),"",ReferenceData!$R$60),"")</f>
        <v>132965.06</v>
      </c>
      <c r="S60">
        <f ca="1">IFERROR(IF(0=LEN(ReferenceData!$S$60),"",ReferenceData!$S$60),"")</f>
        <v>125608.85</v>
      </c>
      <c r="T60">
        <f ca="1">IFERROR(IF(0=LEN(ReferenceData!$T$60),"",ReferenceData!$T$60),"")</f>
        <v>126546.56299999999</v>
      </c>
      <c r="U60">
        <f ca="1">IFERROR(IF(0=LEN(ReferenceData!$U$60),"",ReferenceData!$U$60),"")</f>
        <v>98257.870999999999</v>
      </c>
      <c r="V60">
        <f ca="1">IFERROR(IF(0=LEN(ReferenceData!$V$60),"",ReferenceData!$V$60),"")</f>
        <v>88802.517999999996</v>
      </c>
      <c r="W60">
        <f ca="1">IFERROR(IF(0=LEN(ReferenceData!$W$60),"",ReferenceData!$W$60),"")</f>
        <v>91188.369000000006</v>
      </c>
      <c r="X60">
        <f ca="1">IFERROR(IF(0=LEN(ReferenceData!$X$60),"",ReferenceData!$X$60),"")</f>
        <v>98495.680999999997</v>
      </c>
      <c r="Y60">
        <f ca="1">IFERROR(IF(0=LEN(ReferenceData!$Y$60),"",ReferenceData!$Y$60),"")</f>
        <v>90547.837</v>
      </c>
      <c r="Z60">
        <f ca="1">IFERROR(IF(0=LEN(ReferenceData!$Z$60),"",ReferenceData!$Z$60),"")</f>
        <v>86824.293999999994</v>
      </c>
      <c r="AA60">
        <f ca="1">IFERROR(IF(0=LEN(ReferenceData!$AA$60),"",ReferenceData!$AA$60),"")</f>
        <v>87882.771999999997</v>
      </c>
      <c r="AB60">
        <f ca="1">IFERROR(IF(0=LEN(ReferenceData!$AB$60),"",ReferenceData!$AB$60),"")</f>
        <v>88303.096999999994</v>
      </c>
      <c r="AC60">
        <f ca="1">IFERROR(IF(0=LEN(ReferenceData!$AC$60),"",ReferenceData!$AC$60),"")</f>
        <v>83869.024999999994</v>
      </c>
      <c r="AD60">
        <f ca="1">IFERROR(IF(0=LEN(ReferenceData!$AD$60),"",ReferenceData!$AD$60),"")</f>
        <v>82701.39</v>
      </c>
      <c r="AE60">
        <f ca="1">IFERROR(IF(0=LEN(ReferenceData!$AE$60),"",ReferenceData!$AE$60),"")</f>
        <v>80803.918999999994</v>
      </c>
      <c r="AF60">
        <f ca="1">IFERROR(IF(0=LEN(ReferenceData!$AF$60),"",ReferenceData!$AF$60),"")</f>
        <v>80125.202999999994</v>
      </c>
      <c r="AG60">
        <f ca="1">IFERROR(IF(0=LEN(ReferenceData!$AG$60),"",ReferenceData!$AG$60),"")</f>
        <v>74561.964999999997</v>
      </c>
      <c r="AH60">
        <f ca="1">IFERROR(IF(0=LEN(ReferenceData!$AH$60),"",ReferenceData!$AH$60),"")</f>
        <v>76131.213000000003</v>
      </c>
      <c r="AI60">
        <f ca="1">IFERROR(IF(0=LEN(ReferenceData!$AI$60),"",ReferenceData!$AI$60),"")</f>
        <v>74994.482000000004</v>
      </c>
      <c r="AJ60">
        <f ca="1">IFERROR(IF(0=LEN(ReferenceData!$AJ$60),"",ReferenceData!$AJ$60),"")</f>
        <v>76430.835999999996</v>
      </c>
      <c r="AK60">
        <f ca="1">IFERROR(IF(0=LEN(ReferenceData!$AK$60),"",ReferenceData!$AK$60),"")</f>
        <v>76431.945999999996</v>
      </c>
      <c r="AL60">
        <f ca="1">IFERROR(IF(0=LEN(ReferenceData!$AL$60),"",ReferenceData!$AL$60),"")</f>
        <v>75947.494000000006</v>
      </c>
      <c r="AM60">
        <f ca="1">IFERROR(IF(0=LEN(ReferenceData!$AM$60),"",ReferenceData!$AM$60),"")</f>
        <v>78513.962</v>
      </c>
      <c r="AN60">
        <f ca="1">IFERROR(IF(0=LEN(ReferenceData!$AN$60),"",ReferenceData!$AN$60),"")</f>
        <v>71800.808000000005</v>
      </c>
      <c r="AO60">
        <f ca="1">IFERROR(IF(0=LEN(ReferenceData!$AO$60),"",ReferenceData!$AO$60),"")</f>
        <v>72569.104000000007</v>
      </c>
      <c r="AP60">
        <f ca="1">IFERROR(IF(0=LEN(ReferenceData!$AP$60),"",ReferenceData!$AP$60),"")</f>
        <v>70527.505999999994</v>
      </c>
      <c r="AQ60">
        <f ca="1">IFERROR(IF(0=LEN(ReferenceData!$AQ$60),"",ReferenceData!$AQ$60),"")</f>
        <v>68065.967999999993</v>
      </c>
      <c r="AR60">
        <f ca="1">IFERROR(IF(0=LEN(ReferenceData!$AR$60),"",ReferenceData!$AR$60),"")</f>
        <v>61361.548999999999</v>
      </c>
      <c r="AS60">
        <f ca="1">IFERROR(IF(0=LEN(ReferenceData!$AS$60),"",ReferenceData!$AS$60),"")</f>
        <v>60767.786</v>
      </c>
      <c r="AT60">
        <f ca="1">IFERROR(IF(0=LEN(ReferenceData!$AT$60),"",ReferenceData!$AT$60),"")</f>
        <v>55822.758000000002</v>
      </c>
      <c r="AU60">
        <f ca="1">IFERROR(IF(0=LEN(ReferenceData!$AU$60),"",ReferenceData!$AU$60),"")</f>
        <v>55038.758000000002</v>
      </c>
      <c r="AV60">
        <f ca="1">IFERROR(IF(0=LEN(ReferenceData!$AV$60),"",ReferenceData!$AV$60),"")</f>
        <v>56602.114999999998</v>
      </c>
      <c r="AW60">
        <f ca="1">IFERROR(IF(0=LEN(ReferenceData!$AW$60),"",ReferenceData!$AW$60),"")</f>
        <v>58643.964999999997</v>
      </c>
      <c r="AX60">
        <f ca="1">IFERROR(IF(0=LEN(ReferenceData!$AX$60),"",ReferenceData!$AX$60),"")</f>
        <v>60294.237999999998</v>
      </c>
      <c r="AY60">
        <f ca="1">IFERROR(IF(0=LEN(ReferenceData!$AY$60),"",ReferenceData!$AY$60),"")</f>
        <v>57259.887000000002</v>
      </c>
      <c r="AZ60">
        <f ca="1">IFERROR(IF(0=LEN(ReferenceData!$AZ$60),"",ReferenceData!$AZ$60),"")</f>
        <v>57449.084000000003</v>
      </c>
      <c r="BA60">
        <f ca="1">IFERROR(IF(0=LEN(ReferenceData!$BA$60),"",ReferenceData!$BA$60),"")</f>
        <v>59360.913999999997</v>
      </c>
      <c r="BB60">
        <f ca="1">IFERROR(IF(0=LEN(ReferenceData!$BB$60),"",ReferenceData!$BB$60),"")</f>
        <v>61406.027000000002</v>
      </c>
      <c r="BC60">
        <f ca="1">IFERROR(IF(0=LEN(ReferenceData!$BC$60),"",ReferenceData!$BC$60),"")</f>
        <v>62813.59</v>
      </c>
      <c r="BD60">
        <f ca="1">IFERROR(IF(0=LEN(ReferenceData!$BD$60),"",ReferenceData!$BD$60),"")</f>
        <v>61937.159</v>
      </c>
      <c r="BE60">
        <f ca="1">IFERROR(IF(0=LEN(ReferenceData!$BE$60),"",ReferenceData!$BE$60),"")</f>
        <v>64554.052000000003</v>
      </c>
      <c r="BF60">
        <f ca="1">IFERROR(IF(0=LEN(ReferenceData!$BF$60),"",ReferenceData!$BF$60),"")</f>
        <v>60634.279000000002</v>
      </c>
      <c r="BG60">
        <f ca="1">IFERROR(IF(0=LEN(ReferenceData!$BG$60),"",ReferenceData!$BG$60),"")</f>
        <v>62104.966999999997</v>
      </c>
      <c r="BH60">
        <f ca="1">IFERROR(IF(0=LEN(ReferenceData!$BH$60),"",ReferenceData!$BH$60),"")</f>
        <v>59414.317000000003</v>
      </c>
      <c r="BI60">
        <f ca="1">IFERROR(IF(0=LEN(ReferenceData!$BI$60),"",ReferenceData!$BI$60),"")</f>
        <v>60991.98</v>
      </c>
      <c r="BJ60">
        <f ca="1">IFERROR(IF(0=LEN(ReferenceData!$BJ$60),"",ReferenceData!$BJ$60),"")</f>
        <v>64261.917999999998</v>
      </c>
      <c r="BK60">
        <f ca="1">IFERROR(IF(0=LEN(ReferenceData!$BK$60),"",ReferenceData!$BK$60),"")</f>
        <v>63460.521999999997</v>
      </c>
      <c r="BL60">
        <f ca="1">IFERROR(IF(0=LEN(ReferenceData!$BL$60),"",ReferenceData!$BL$60),"")</f>
        <v>53717.120000000003</v>
      </c>
      <c r="BM60">
        <f ca="1">IFERROR(IF(0=LEN(ReferenceData!$BM$60),"",ReferenceData!$BM$60),"")</f>
        <v>57606.47</v>
      </c>
    </row>
    <row r="61" spans="1:65" x14ac:dyDescent="0.25">
      <c r="A61" t="str">
        <f>IFERROR(IF(0=LEN(ReferenceData!$A$61),"",ReferenceData!$A$61),"")</f>
        <v xml:space="preserve">                Regions Financial Corp</v>
      </c>
      <c r="B61" t="str">
        <f>IFERROR(IF(0=LEN(ReferenceData!$B$61),"",ReferenceData!$B$61),"")</f>
        <v>RF US Equity</v>
      </c>
      <c r="C61" t="str">
        <f>IFERROR(IF(0=LEN(ReferenceData!$C$61),"",ReferenceData!$C$61),"")</f>
        <v>FC023</v>
      </c>
      <c r="D61" t="str">
        <f>IFERROR(IF(0=LEN(ReferenceData!$D$61),"",ReferenceData!$D$61),"")</f>
        <v>FDIC_TOTAL_SECURITIES</v>
      </c>
      <c r="E61" t="str">
        <f>IFERROR(IF(0=LEN(ReferenceData!$E$61),"",ReferenceData!$E$61),"")</f>
        <v>Dynamic</v>
      </c>
      <c r="F61" t="str">
        <f ca="1">IFERROR(IF(0=LEN(ReferenceData!$F$61),"",ReferenceData!$F$61),"")</f>
        <v/>
      </c>
      <c r="G61">
        <f ca="1">IFERROR(IF(0=LEN(ReferenceData!$G$61),"",ReferenceData!$G$61),"")</f>
        <v>31485</v>
      </c>
      <c r="H61">
        <f ca="1">IFERROR(IF(0=LEN(ReferenceData!$H$61),"",ReferenceData!$H$61),"")</f>
        <v>29270</v>
      </c>
      <c r="I61">
        <f ca="1">IFERROR(IF(0=LEN(ReferenceData!$I$61),"",ReferenceData!$I$61),"")</f>
        <v>28624</v>
      </c>
      <c r="J61">
        <f ca="1">IFERROR(IF(0=LEN(ReferenceData!$J$61),"",ReferenceData!$J$61),"")</f>
        <v>28858</v>
      </c>
      <c r="K61">
        <f ca="1">IFERROR(IF(0=LEN(ReferenceData!$K$61),"",ReferenceData!$K$61),"")</f>
        <v>26991</v>
      </c>
      <c r="L61">
        <f ca="1">IFERROR(IF(0=LEN(ReferenceData!$L$61),"",ReferenceData!$L$61),"")</f>
        <v>28073</v>
      </c>
      <c r="M61">
        <f ca="1">IFERROR(IF(0=LEN(ReferenceData!$M$61),"",ReferenceData!$M$61),"")</f>
        <v>29020</v>
      </c>
      <c r="N61">
        <f ca="1">IFERROR(IF(0=LEN(ReferenceData!$N$61),"",ReferenceData!$N$61),"")</f>
        <v>28734</v>
      </c>
      <c r="O61">
        <f ca="1">IFERROR(IF(0=LEN(ReferenceData!$O$61),"",ReferenceData!$O$61),"")</f>
        <v>28943</v>
      </c>
      <c r="P61">
        <f ca="1">IFERROR(IF(0=LEN(ReferenceData!$P$61),"",ReferenceData!$P$61),"")</f>
        <v>29888</v>
      </c>
      <c r="Q61">
        <f ca="1">IFERROR(IF(0=LEN(ReferenceData!$Q$61),"",ReferenceData!$Q$61),"")</f>
        <v>30248</v>
      </c>
      <c r="R61">
        <f ca="1">IFERROR(IF(0=LEN(ReferenceData!$R$61),"",ReferenceData!$R$61),"")</f>
        <v>29380</v>
      </c>
      <c r="S61">
        <f ca="1">IFERROR(IF(0=LEN(ReferenceData!$S$61),"",ReferenceData!$S$61),"")</f>
        <v>29931</v>
      </c>
      <c r="T61">
        <f ca="1">IFERROR(IF(0=LEN(ReferenceData!$T$61),"",ReferenceData!$T$61),"")</f>
        <v>30283</v>
      </c>
      <c r="U61">
        <f ca="1">IFERROR(IF(0=LEN(ReferenceData!$U$61),"",ReferenceData!$U$61),"")</f>
        <v>28150</v>
      </c>
      <c r="V61">
        <f ca="1">IFERROR(IF(0=LEN(ReferenceData!$V$61),"",ReferenceData!$V$61),"")</f>
        <v>28276</v>
      </c>
      <c r="W61">
        <f ca="1">IFERROR(IF(0=LEN(ReferenceData!$W$61),"",ReferenceData!$W$61),"")</f>
        <v>28197</v>
      </c>
      <c r="X61">
        <f ca="1">IFERROR(IF(0=LEN(ReferenceData!$X$61),"",ReferenceData!$X$61),"")</f>
        <v>25153</v>
      </c>
      <c r="Y61">
        <f ca="1">IFERROR(IF(0=LEN(ReferenceData!$Y$61),"",ReferenceData!$Y$61),"")</f>
        <v>25071</v>
      </c>
      <c r="Z61">
        <f ca="1">IFERROR(IF(0=LEN(ReferenceData!$Z$61),"",ReferenceData!$Z$61),"")</f>
        <v>23938</v>
      </c>
      <c r="AA61">
        <f ca="1">IFERROR(IF(0=LEN(ReferenceData!$AA$61),"",ReferenceData!$AA$61),"")</f>
        <v>24361</v>
      </c>
      <c r="AB61">
        <f ca="1">IFERROR(IF(0=LEN(ReferenceData!$AB$61),"",ReferenceData!$AB$61),"")</f>
        <v>24114</v>
      </c>
      <c r="AC61">
        <f ca="1">IFERROR(IF(0=LEN(ReferenceData!$AC$61),"",ReferenceData!$AC$61),"")</f>
        <v>25237</v>
      </c>
      <c r="AD61">
        <f ca="1">IFERROR(IF(0=LEN(ReferenceData!$AD$61),"",ReferenceData!$AD$61),"")</f>
        <v>24210.748</v>
      </c>
      <c r="AE61">
        <f ca="1">IFERROR(IF(0=LEN(ReferenceData!$AE$61),"",ReferenceData!$AE$61),"")</f>
        <v>24194.260999999999</v>
      </c>
      <c r="AF61">
        <f ca="1">IFERROR(IF(0=LEN(ReferenceData!$AF$61),"",ReferenceData!$AF$61),"")</f>
        <v>24502.435000000001</v>
      </c>
      <c r="AG61">
        <f ca="1">IFERROR(IF(0=LEN(ReferenceData!$AG$61),"",ReferenceData!$AG$61),"")</f>
        <v>24696.115000000002</v>
      </c>
      <c r="AH61">
        <f ca="1">IFERROR(IF(0=LEN(ReferenceData!$AH$61),"",ReferenceData!$AH$61),"")</f>
        <v>25286.245999999999</v>
      </c>
      <c r="AI61">
        <f ca="1">IFERROR(IF(0=LEN(ReferenceData!$AI$61),"",ReferenceData!$AI$61),"")</f>
        <v>25361.859</v>
      </c>
      <c r="AJ61">
        <f ca="1">IFERROR(IF(0=LEN(ReferenceData!$AJ$61),"",ReferenceData!$AJ$61),"")</f>
        <v>25361.728999999999</v>
      </c>
      <c r="AK61">
        <f ca="1">IFERROR(IF(0=LEN(ReferenceData!$AK$61),"",ReferenceData!$AK$61),"")</f>
        <v>25298.135999999999</v>
      </c>
      <c r="AL61">
        <f ca="1">IFERROR(IF(0=LEN(ReferenceData!$AL$61),"",ReferenceData!$AL$61),"")</f>
        <v>25143.65</v>
      </c>
      <c r="AM61">
        <f ca="1">IFERROR(IF(0=LEN(ReferenceData!$AM$61),"",ReferenceData!$AM$61),"")</f>
        <v>25290.403999999999</v>
      </c>
      <c r="AN61">
        <f ca="1">IFERROR(IF(0=LEN(ReferenceData!$AN$61),"",ReferenceData!$AN$61),"")</f>
        <v>25139.528999999999</v>
      </c>
      <c r="AO61">
        <f ca="1">IFERROR(IF(0=LEN(ReferenceData!$AO$61),"",ReferenceData!$AO$61),"")</f>
        <v>24995.796999999999</v>
      </c>
      <c r="AP61">
        <f ca="1">IFERROR(IF(0=LEN(ReferenceData!$AP$61),"",ReferenceData!$AP$61),"")</f>
        <v>24656.016</v>
      </c>
      <c r="AQ61">
        <f ca="1">IFERROR(IF(0=LEN(ReferenceData!$AQ$61),"",ReferenceData!$AQ$61),"")</f>
        <v>24034.432000000001</v>
      </c>
      <c r="AR61">
        <f ca="1">IFERROR(IF(0=LEN(ReferenceData!$AR$61),"",ReferenceData!$AR$61),"")</f>
        <v>24111.472000000002</v>
      </c>
      <c r="AS61">
        <f ca="1">IFERROR(IF(0=LEN(ReferenceData!$AS$61),"",ReferenceData!$AS$61),"")</f>
        <v>24503.901999999998</v>
      </c>
      <c r="AT61">
        <f ca="1">IFERROR(IF(0=LEN(ReferenceData!$AT$61),"",ReferenceData!$AT$61),"")</f>
        <v>24227.447</v>
      </c>
      <c r="AU61">
        <f ca="1">IFERROR(IF(0=LEN(ReferenceData!$AU$61),"",ReferenceData!$AU$61),"")</f>
        <v>24107.075000000001</v>
      </c>
      <c r="AV61">
        <f ca="1">IFERROR(IF(0=LEN(ReferenceData!$AV$61),"",ReferenceData!$AV$61),"")</f>
        <v>23744.019</v>
      </c>
      <c r="AW61">
        <f ca="1">IFERROR(IF(0=LEN(ReferenceData!$AW$61),"",ReferenceData!$AW$61),"")</f>
        <v>23425.442999999999</v>
      </c>
      <c r="AX61">
        <f ca="1">IFERROR(IF(0=LEN(ReferenceData!$AX$61),"",ReferenceData!$AX$61),"")</f>
        <v>23299.49</v>
      </c>
      <c r="AY61">
        <f ca="1">IFERROR(IF(0=LEN(ReferenceData!$AY$61),"",ReferenceData!$AY$61),"")</f>
        <v>23455.887999999999</v>
      </c>
      <c r="AZ61">
        <f ca="1">IFERROR(IF(0=LEN(ReferenceData!$AZ$61),"",ReferenceData!$AZ$61),"")</f>
        <v>23818.609</v>
      </c>
      <c r="BA61">
        <f ca="1">IFERROR(IF(0=LEN(ReferenceData!$BA$61),"",ReferenceData!$BA$61),"")</f>
        <v>26546.278999999999</v>
      </c>
      <c r="BB61">
        <f ca="1">IFERROR(IF(0=LEN(ReferenceData!$BB$61),"",ReferenceData!$BB$61),"")</f>
        <v>26697.102999999999</v>
      </c>
      <c r="BC61">
        <f ca="1">IFERROR(IF(0=LEN(ReferenceData!$BC$61),"",ReferenceData!$BC$61),"")</f>
        <v>27034.794999999998</v>
      </c>
      <c r="BD61">
        <f ca="1">IFERROR(IF(0=LEN(ReferenceData!$BD$61),"",ReferenceData!$BD$61),"")</f>
        <v>26630.583999999999</v>
      </c>
      <c r="BE61">
        <f ca="1">IFERROR(IF(0=LEN(ReferenceData!$BE$61),"",ReferenceData!$BE$61),"")</f>
        <v>26490.938999999998</v>
      </c>
      <c r="BF61">
        <f ca="1">IFERROR(IF(0=LEN(ReferenceData!$BF$61),"",ReferenceData!$BF$61),"")</f>
        <v>23785.848000000002</v>
      </c>
      <c r="BG61">
        <f ca="1">IFERROR(IF(0=LEN(ReferenceData!$BG$61),"",ReferenceData!$BG$61),"")</f>
        <v>23909.800999999999</v>
      </c>
      <c r="BH61">
        <f ca="1">IFERROR(IF(0=LEN(ReferenceData!$BH$61),"",ReferenceData!$BH$61),"")</f>
        <v>23048.025000000001</v>
      </c>
      <c r="BI61">
        <f ca="1">IFERROR(IF(0=LEN(ReferenceData!$BI$61),"",ReferenceData!$BI$61),"")</f>
        <v>23834.206999999999</v>
      </c>
      <c r="BJ61">
        <f ca="1">IFERROR(IF(0=LEN(ReferenceData!$BJ$61),"",ReferenceData!$BJ$61),"")</f>
        <v>22422.896000000001</v>
      </c>
      <c r="BK61">
        <f ca="1">IFERROR(IF(0=LEN(ReferenceData!$BK$61),"",ReferenceData!$BK$61),"")</f>
        <v>22667.594000000001</v>
      </c>
      <c r="BL61">
        <f ca="1">IFERROR(IF(0=LEN(ReferenceData!$BL$61),"",ReferenceData!$BL$61),"")</f>
        <v>23244.832999999999</v>
      </c>
      <c r="BM61">
        <f ca="1">IFERROR(IF(0=LEN(ReferenceData!$BM$61),"",ReferenceData!$BM$61),"")</f>
        <v>23283.694</v>
      </c>
    </row>
    <row r="62" spans="1:65" x14ac:dyDescent="0.25">
      <c r="A62" t="str">
        <f>IFERROR(IF(0=LEN(ReferenceData!$A$62),"",ReferenceData!$A$62),"")</f>
        <v xml:space="preserve">                Truist Financial Corp</v>
      </c>
      <c r="B62" t="str">
        <f>IFERROR(IF(0=LEN(ReferenceData!$B$62),"",ReferenceData!$B$62),"")</f>
        <v>TFC US Equity</v>
      </c>
      <c r="C62" t="str">
        <f>IFERROR(IF(0=LEN(ReferenceData!$C$62),"",ReferenceData!$C$62),"")</f>
        <v>FC023</v>
      </c>
      <c r="D62" t="str">
        <f>IFERROR(IF(0=LEN(ReferenceData!$D$62),"",ReferenceData!$D$62),"")</f>
        <v>FDIC_TOTAL_SECURITIES</v>
      </c>
      <c r="E62" t="str">
        <f>IFERROR(IF(0=LEN(ReferenceData!$E$62),"",ReferenceData!$E$62),"")</f>
        <v>Dynamic</v>
      </c>
      <c r="F62">
        <f ca="1">IFERROR(IF(0=LEN(ReferenceData!$F$62),"",ReferenceData!$F$62),"")</f>
        <v>118104</v>
      </c>
      <c r="G62">
        <f ca="1">IFERROR(IF(0=LEN(ReferenceData!$G$62),"",ReferenceData!$G$62),"")</f>
        <v>115606</v>
      </c>
      <c r="H62">
        <f ca="1">IFERROR(IF(0=LEN(ReferenceData!$H$62),"",ReferenceData!$H$62),"")</f>
        <v>108416</v>
      </c>
      <c r="I62">
        <f ca="1">IFERROR(IF(0=LEN(ReferenceData!$I$62),"",ReferenceData!$I$62),"")</f>
        <v>119419</v>
      </c>
      <c r="J62">
        <f ca="1">IFERROR(IF(0=LEN(ReferenceData!$J$62),"",ReferenceData!$J$62),"")</f>
        <v>121473</v>
      </c>
      <c r="K62">
        <f ca="1">IFERROR(IF(0=LEN(ReferenceData!$K$62),"",ReferenceData!$K$62),"")</f>
        <v>120059</v>
      </c>
      <c r="L62">
        <f ca="1">IFERROR(IF(0=LEN(ReferenceData!$L$62),"",ReferenceData!$L$62),"")</f>
        <v>124923</v>
      </c>
      <c r="M62">
        <f ca="1">IFERROR(IF(0=LEN(ReferenceData!$M$62),"",ReferenceData!$M$62),"")</f>
        <v>128790</v>
      </c>
      <c r="N62">
        <f ca="1">IFERROR(IF(0=LEN(ReferenceData!$N$62),"",ReferenceData!$N$62),"")</f>
        <v>129514</v>
      </c>
      <c r="O62">
        <f ca="1">IFERROR(IF(0=LEN(ReferenceData!$O$62),"",ReferenceData!$O$62),"")</f>
        <v>131732</v>
      </c>
      <c r="P62">
        <f ca="1">IFERROR(IF(0=LEN(ReferenceData!$P$62),"",ReferenceData!$P$62),"")</f>
        <v>139359</v>
      </c>
      <c r="Q62">
        <f ca="1">IFERROR(IF(0=LEN(ReferenceData!$Q$62),"",ReferenceData!$Q$62),"")</f>
        <v>146415</v>
      </c>
      <c r="R62">
        <f ca="1">IFERROR(IF(0=LEN(ReferenceData!$R$62),"",ReferenceData!$R$62),"")</f>
        <v>154617</v>
      </c>
      <c r="S62">
        <f ca="1">IFERROR(IF(0=LEN(ReferenceData!$S$62),"",ReferenceData!$S$62),"")</f>
        <v>151038</v>
      </c>
      <c r="T62">
        <f ca="1">IFERROR(IF(0=LEN(ReferenceData!$T$62),"",ReferenceData!$T$62),"")</f>
        <v>139879</v>
      </c>
      <c r="U62">
        <f ca="1">IFERROR(IF(0=LEN(ReferenceData!$U$62),"",ReferenceData!$U$62),"")</f>
        <v>123807</v>
      </c>
      <c r="V62">
        <f ca="1">IFERROR(IF(0=LEN(ReferenceData!$V$62),"",ReferenceData!$V$62),"")</f>
        <v>120788</v>
      </c>
      <c r="W62">
        <f ca="1">IFERROR(IF(0=LEN(ReferenceData!$W$62),"",ReferenceData!$W$62),"")</f>
        <v>86132</v>
      </c>
      <c r="X62">
        <f ca="1">IFERROR(IF(0=LEN(ReferenceData!$X$62),"",ReferenceData!$X$62),"")</f>
        <v>77805</v>
      </c>
      <c r="Y62">
        <f ca="1">IFERROR(IF(0=LEN(ReferenceData!$Y$62),"",ReferenceData!$Y$62),"")</f>
        <v>78398</v>
      </c>
      <c r="Z62">
        <f ca="1">IFERROR(IF(0=LEN(ReferenceData!$Z$62),"",ReferenceData!$Z$62),"")</f>
        <v>74727</v>
      </c>
      <c r="AA62">
        <f ca="1">IFERROR(IF(0=LEN(ReferenceData!$AA$62),"",ReferenceData!$AA$62),"")</f>
        <v>54765</v>
      </c>
      <c r="AB62">
        <f ca="1">IFERROR(IF(0=LEN(ReferenceData!$AB$62),"",ReferenceData!$AB$62),"")</f>
        <v>45289</v>
      </c>
      <c r="AC62">
        <f ca="1">IFERROR(IF(0=LEN(ReferenceData!$AC$62),"",ReferenceData!$AC$62),"")</f>
        <v>46410</v>
      </c>
      <c r="AD62">
        <f ca="1">IFERROR(IF(0=LEN(ReferenceData!$AD$62),"",ReferenceData!$AD$62),"")</f>
        <v>45590</v>
      </c>
      <c r="AE62">
        <f ca="1">IFERROR(IF(0=LEN(ReferenceData!$AE$62),"",ReferenceData!$AE$62),"")</f>
        <v>45368</v>
      </c>
      <c r="AF62">
        <f ca="1">IFERROR(IF(0=LEN(ReferenceData!$AF$62),"",ReferenceData!$AF$62),"")</f>
        <v>45668</v>
      </c>
      <c r="AG62">
        <f ca="1">IFERROR(IF(0=LEN(ReferenceData!$AG$62),"",ReferenceData!$AG$62),"")</f>
        <v>47407</v>
      </c>
      <c r="AH62">
        <f ca="1">IFERROR(IF(0=LEN(ReferenceData!$AH$62),"",ReferenceData!$AH$62),"")</f>
        <v>47574</v>
      </c>
      <c r="AI62">
        <f ca="1">IFERROR(IF(0=LEN(ReferenceData!$AI$62),"",ReferenceData!$AI$62),"")</f>
        <v>46631</v>
      </c>
      <c r="AJ62">
        <f ca="1">IFERROR(IF(0=LEN(ReferenceData!$AJ$62),"",ReferenceData!$AJ$62),"")</f>
        <v>45283</v>
      </c>
      <c r="AK62">
        <f ca="1">IFERROR(IF(0=LEN(ReferenceData!$AK$62),"",ReferenceData!$AK$62),"")</f>
        <v>44877.180999999997</v>
      </c>
      <c r="AL62">
        <f ca="1">IFERROR(IF(0=LEN(ReferenceData!$AL$62),"",ReferenceData!$AL$62),"")</f>
        <v>43605.296000000002</v>
      </c>
      <c r="AM62">
        <f ca="1">IFERROR(IF(0=LEN(ReferenceData!$AM$62),"",ReferenceData!$AM$62),"")</f>
        <v>47198.663999999997</v>
      </c>
      <c r="AN62">
        <f ca="1">IFERROR(IF(0=LEN(ReferenceData!$AN$62),"",ReferenceData!$AN$62),"")</f>
        <v>47005.311000000002</v>
      </c>
      <c r="AO62">
        <f ca="1">IFERROR(IF(0=LEN(ReferenceData!$AO$62),"",ReferenceData!$AO$62),"")</f>
        <v>46479.927000000003</v>
      </c>
      <c r="AP62">
        <f ca="1">IFERROR(IF(0=LEN(ReferenceData!$AP$62),"",ReferenceData!$AP$62),"")</f>
        <v>43826.923000000003</v>
      </c>
      <c r="AQ62">
        <f ca="1">IFERROR(IF(0=LEN(ReferenceData!$AQ$62),"",ReferenceData!$AQ$62),"")</f>
        <v>43493.932000000001</v>
      </c>
      <c r="AR62">
        <f ca="1">IFERROR(IF(0=LEN(ReferenceData!$AR$62),"",ReferenceData!$AR$62),"")</f>
        <v>40620.419000000002</v>
      </c>
      <c r="AS62">
        <f ca="1">IFERROR(IF(0=LEN(ReferenceData!$AS$62),"",ReferenceData!$AS$62),"")</f>
        <v>42089.21</v>
      </c>
      <c r="AT62">
        <f ca="1">IFERROR(IF(0=LEN(ReferenceData!$AT$62),"",ReferenceData!$AT$62),"")</f>
        <v>41147.207999999999</v>
      </c>
      <c r="AU62">
        <f ca="1">IFERROR(IF(0=LEN(ReferenceData!$AU$62),"",ReferenceData!$AU$62),"")</f>
        <v>41891.790999999997</v>
      </c>
      <c r="AV62">
        <f ca="1">IFERROR(IF(0=LEN(ReferenceData!$AV$62),"",ReferenceData!$AV$62),"")</f>
        <v>41368.656000000003</v>
      </c>
      <c r="AW62">
        <f ca="1">IFERROR(IF(0=LEN(ReferenceData!$AW$62),"",ReferenceData!$AW$62),"")</f>
        <v>41308.559000000001</v>
      </c>
      <c r="AX62">
        <f ca="1">IFERROR(IF(0=LEN(ReferenceData!$AX$62),"",ReferenceData!$AX$62),"")</f>
        <v>40204.660000000003</v>
      </c>
      <c r="AY62">
        <f ca="1">IFERROR(IF(0=LEN(ReferenceData!$AY$62),"",ReferenceData!$AY$62),"")</f>
        <v>36393.646999999997</v>
      </c>
      <c r="AZ62">
        <f ca="1">IFERROR(IF(0=LEN(ReferenceData!$AZ$62),"",ReferenceData!$AZ$62),"")</f>
        <v>38227.559000000001</v>
      </c>
      <c r="BA62">
        <f ca="1">IFERROR(IF(0=LEN(ReferenceData!$BA$62),"",ReferenceData!$BA$62),"")</f>
        <v>37288.548999999999</v>
      </c>
      <c r="BB62">
        <f ca="1">IFERROR(IF(0=LEN(ReferenceData!$BB$62),"",ReferenceData!$BB$62),"")</f>
        <v>38731.660000000003</v>
      </c>
      <c r="BC62">
        <f ca="1">IFERROR(IF(0=LEN(ReferenceData!$BC$62),"",ReferenceData!$BC$62),"")</f>
        <v>37237.745000000003</v>
      </c>
      <c r="BD62">
        <f ca="1">IFERROR(IF(0=LEN(ReferenceData!$BD$62),"",ReferenceData!$BD$62),"")</f>
        <v>37642.955000000002</v>
      </c>
      <c r="BE62">
        <f ca="1">IFERROR(IF(0=LEN(ReferenceData!$BE$62),"",ReferenceData!$BE$62),"")</f>
        <v>37865.072999999997</v>
      </c>
      <c r="BF62">
        <f ca="1">IFERROR(IF(0=LEN(ReferenceData!$BF$62),"",ReferenceData!$BF$62),"")</f>
        <v>36407.224999999999</v>
      </c>
      <c r="BG62">
        <f ca="1">IFERROR(IF(0=LEN(ReferenceData!$BG$62),"",ReferenceData!$BG$62),"")</f>
        <v>32784.584999999999</v>
      </c>
      <c r="BH62">
        <f ca="1">IFERROR(IF(0=LEN(ReferenceData!$BH$62),"",ReferenceData!$BH$62),"")</f>
        <v>27961.501</v>
      </c>
      <c r="BI62">
        <f ca="1">IFERROR(IF(0=LEN(ReferenceData!$BI$62),"",ReferenceData!$BI$62),"")</f>
        <v>26219.155999999999</v>
      </c>
      <c r="BJ62">
        <f ca="1">IFERROR(IF(0=LEN(ReferenceData!$BJ$62),"",ReferenceData!$BJ$62),"")</f>
        <v>23169.776999999998</v>
      </c>
      <c r="BK62">
        <f ca="1">IFERROR(IF(0=LEN(ReferenceData!$BK$62),"",ReferenceData!$BK$62),"")</f>
        <v>24496.758999999998</v>
      </c>
      <c r="BL62">
        <f ca="1">IFERROR(IF(0=LEN(ReferenceData!$BL$62),"",ReferenceData!$BL$62),"")</f>
        <v>23661.855</v>
      </c>
      <c r="BM62" t="str">
        <f ca="1">IFERROR(IF(0=LEN(ReferenceData!$BM$62),"",ReferenceData!$BM$62),"")</f>
        <v/>
      </c>
    </row>
    <row r="63" spans="1:65" x14ac:dyDescent="0.25">
      <c r="A63" t="str">
        <f>IFERROR(IF(0=LEN(ReferenceData!$A$63),"",ReferenceData!$A$63),"")</f>
        <v xml:space="preserve">                US Bancorp</v>
      </c>
      <c r="B63" t="str">
        <f>IFERROR(IF(0=LEN(ReferenceData!$B$63),"",ReferenceData!$B$63),"")</f>
        <v>USB US Equity</v>
      </c>
      <c r="C63" t="str">
        <f>IFERROR(IF(0=LEN(ReferenceData!$C$63),"",ReferenceData!$C$63),"")</f>
        <v>FC023</v>
      </c>
      <c r="D63" t="str">
        <f>IFERROR(IF(0=LEN(ReferenceData!$D$63),"",ReferenceData!$D$63),"")</f>
        <v>FDIC_TOTAL_SECURITIES</v>
      </c>
      <c r="E63" t="str">
        <f>IFERROR(IF(0=LEN(ReferenceData!$E$63),"",ReferenceData!$E$63),"")</f>
        <v>Dynamic</v>
      </c>
      <c r="F63">
        <f ca="1">IFERROR(IF(0=LEN(ReferenceData!$F$63),"",ReferenceData!$F$63),"")</f>
        <v>164626</v>
      </c>
      <c r="G63">
        <f ca="1">IFERROR(IF(0=LEN(ReferenceData!$G$63),"",ReferenceData!$G$63),"")</f>
        <v>161729</v>
      </c>
      <c r="H63">
        <f ca="1">IFERROR(IF(0=LEN(ReferenceData!$H$63),"",ReferenceData!$H$63),"")</f>
        <v>161285</v>
      </c>
      <c r="I63">
        <f ca="1">IFERROR(IF(0=LEN(ReferenceData!$I$63),"",ReferenceData!$I$63),"")</f>
        <v>155374</v>
      </c>
      <c r="J63">
        <f ca="1">IFERROR(IF(0=LEN(ReferenceData!$J$63),"",ReferenceData!$J$63),"")</f>
        <v>153751</v>
      </c>
      <c r="K63">
        <f ca="1">IFERROR(IF(0=LEN(ReferenceData!$K$63),"",ReferenceData!$K$63),"")</f>
        <v>152549</v>
      </c>
      <c r="L63">
        <f ca="1">IFERROR(IF(0=LEN(ReferenceData!$L$63),"",ReferenceData!$L$63),"")</f>
        <v>156159</v>
      </c>
      <c r="M63">
        <f ca="1">IFERROR(IF(0=LEN(ReferenceData!$M$63),"",ReferenceData!$M$63),"")</f>
        <v>153953</v>
      </c>
      <c r="N63">
        <f ca="1">IFERROR(IF(0=LEN(ReferenceData!$N$63),"",ReferenceData!$N$63),"")</f>
        <v>161650</v>
      </c>
      <c r="O63">
        <f ca="1">IFERROR(IF(0=LEN(ReferenceData!$O$63),"",ReferenceData!$O$63),"")</f>
        <v>154097</v>
      </c>
      <c r="P63">
        <f ca="1">IFERROR(IF(0=LEN(ReferenceData!$P$63),"",ReferenceData!$P$63),"")</f>
        <v>160309</v>
      </c>
      <c r="Q63">
        <f ca="1">IFERROR(IF(0=LEN(ReferenceData!$Q$63),"",ReferenceData!$Q$63),"")</f>
        <v>167247</v>
      </c>
      <c r="R63">
        <f ca="1">IFERROR(IF(0=LEN(ReferenceData!$R$63),"",ReferenceData!$R$63),"")</f>
        <v>174821</v>
      </c>
      <c r="S63">
        <f ca="1">IFERROR(IF(0=LEN(ReferenceData!$S$63),"",ReferenceData!$S$63),"")</f>
        <v>149376</v>
      </c>
      <c r="T63">
        <f ca="1">IFERROR(IF(0=LEN(ReferenceData!$T$63),"",ReferenceData!$T$63),"")</f>
        <v>160288</v>
      </c>
      <c r="U63">
        <f ca="1">IFERROR(IF(0=LEN(ReferenceData!$U$63),"",ReferenceData!$U$63),"")</f>
        <v>156003</v>
      </c>
      <c r="V63">
        <f ca="1">IFERROR(IF(0=LEN(ReferenceData!$V$63),"",ReferenceData!$V$63),"")</f>
        <v>136840</v>
      </c>
      <c r="W63">
        <f ca="1">IFERROR(IF(0=LEN(ReferenceData!$W$63),"",ReferenceData!$W$63),"")</f>
        <v>134032</v>
      </c>
      <c r="X63">
        <f ca="1">IFERROR(IF(0=LEN(ReferenceData!$X$63),"",ReferenceData!$X$63),"")</f>
        <v>128120</v>
      </c>
      <c r="Y63">
        <f ca="1">IFERROR(IF(0=LEN(ReferenceData!$Y$63),"",ReferenceData!$Y$63),"")</f>
        <v>123681</v>
      </c>
      <c r="Z63">
        <f ca="1">IFERROR(IF(0=LEN(ReferenceData!$Z$63),"",ReferenceData!$Z$63),"")</f>
        <v>122613</v>
      </c>
      <c r="AA63">
        <f ca="1">IFERROR(IF(0=LEN(ReferenceData!$AA$63),"",ReferenceData!$AA$63),"")</f>
        <v>121079</v>
      </c>
      <c r="AB63">
        <f ca="1">IFERROR(IF(0=LEN(ReferenceData!$AB$63),"",ReferenceData!$AB$63),"")</f>
        <v>115580</v>
      </c>
      <c r="AC63">
        <f ca="1">IFERROR(IF(0=LEN(ReferenceData!$AC$63),"",ReferenceData!$AC$63),"")</f>
        <v>114398</v>
      </c>
      <c r="AD63">
        <f ca="1">IFERROR(IF(0=LEN(ReferenceData!$AD$63),"",ReferenceData!$AD$63),"")</f>
        <v>112165</v>
      </c>
      <c r="AE63">
        <f ca="1">IFERROR(IF(0=LEN(ReferenceData!$AE$63),"",ReferenceData!$AE$63),"")</f>
        <v>110958</v>
      </c>
      <c r="AF63">
        <f ca="1">IFERROR(IF(0=LEN(ReferenceData!$AF$63),"",ReferenceData!$AF$63),"")</f>
        <v>112402</v>
      </c>
      <c r="AG63">
        <f ca="1">IFERROR(IF(0=LEN(ReferenceData!$AG$63),"",ReferenceData!$AG$63),"")</f>
        <v>111737</v>
      </c>
      <c r="AH63">
        <f ca="1">IFERROR(IF(0=LEN(ReferenceData!$AH$63),"",ReferenceData!$AH$63),"")</f>
        <v>112499</v>
      </c>
      <c r="AI63">
        <f ca="1">IFERROR(IF(0=LEN(ReferenceData!$AI$63),"",ReferenceData!$AI$63),"")</f>
        <v>111790</v>
      </c>
      <c r="AJ63">
        <f ca="1">IFERROR(IF(0=LEN(ReferenceData!$AJ$63),"",ReferenceData!$AJ$63),"")</f>
        <v>111114</v>
      </c>
      <c r="AK63">
        <f ca="1">IFERROR(IF(0=LEN(ReferenceData!$AK$63),"",ReferenceData!$AK$63),"")</f>
        <v>110424</v>
      </c>
      <c r="AL63">
        <f ca="1">IFERROR(IF(0=LEN(ReferenceData!$AL$63),"",ReferenceData!$AL$63),"")</f>
        <v>109275</v>
      </c>
      <c r="AM63">
        <f ca="1">IFERROR(IF(0=LEN(ReferenceData!$AM$63),"",ReferenceData!$AM$63),"")</f>
        <v>110028</v>
      </c>
      <c r="AN63">
        <f ca="1">IFERROR(IF(0=LEN(ReferenceData!$AN$63),"",ReferenceData!$AN$63),"")</f>
        <v>108520</v>
      </c>
      <c r="AO63">
        <f ca="1">IFERROR(IF(0=LEN(ReferenceData!$AO$63),"",ReferenceData!$AO$63),"")</f>
        <v>107025</v>
      </c>
      <c r="AP63">
        <f ca="1">IFERROR(IF(0=LEN(ReferenceData!$AP$63),"",ReferenceData!$AP$63),"")</f>
        <v>105587</v>
      </c>
      <c r="AQ63">
        <f ca="1">IFERROR(IF(0=LEN(ReferenceData!$AQ$63),"",ReferenceData!$AQ$63),"")</f>
        <v>105086</v>
      </c>
      <c r="AR63">
        <f ca="1">IFERROR(IF(0=LEN(ReferenceData!$AR$63),"",ReferenceData!$AR$63),"")</f>
        <v>103311</v>
      </c>
      <c r="AS63">
        <f ca="1">IFERROR(IF(0=LEN(ReferenceData!$AS$63),"",ReferenceData!$AS$63),"")</f>
        <v>102423</v>
      </c>
      <c r="AT63">
        <f ca="1">IFERROR(IF(0=LEN(ReferenceData!$AT$63),"",ReferenceData!$AT$63),"")</f>
        <v>101043</v>
      </c>
      <c r="AU63">
        <f ca="1">IFERROR(IF(0=LEN(ReferenceData!$AU$63),"",ReferenceData!$AU$63),"")</f>
        <v>96905</v>
      </c>
      <c r="AV63">
        <f ca="1">IFERROR(IF(0=LEN(ReferenceData!$AV$63),"",ReferenceData!$AV$63),"")</f>
        <v>90384</v>
      </c>
      <c r="AW63">
        <f ca="1">IFERROR(IF(0=LEN(ReferenceData!$AW$63),"",ReferenceData!$AW$63),"")</f>
        <v>85473</v>
      </c>
      <c r="AX63">
        <f ca="1">IFERROR(IF(0=LEN(ReferenceData!$AX$63),"",ReferenceData!$AX$63),"")</f>
        <v>79855</v>
      </c>
      <c r="AY63">
        <f ca="1">IFERROR(IF(0=LEN(ReferenceData!$AY$63),"",ReferenceData!$AY$63),"")</f>
        <v>76211</v>
      </c>
      <c r="AZ63">
        <f ca="1">IFERROR(IF(0=LEN(ReferenceData!$AZ$63),"",ReferenceData!$AZ$63),"")</f>
        <v>74975</v>
      </c>
      <c r="BA63">
        <f ca="1">IFERROR(IF(0=LEN(ReferenceData!$BA$63),"",ReferenceData!$BA$63),"")</f>
        <v>75286</v>
      </c>
      <c r="BB63">
        <f ca="1">IFERROR(IF(0=LEN(ReferenceData!$BB$63),"",ReferenceData!$BB$63),"")</f>
        <v>74528</v>
      </c>
      <c r="BC63">
        <f ca="1">IFERROR(IF(0=LEN(ReferenceData!$BC$63),"",ReferenceData!$BC$63),"")</f>
        <v>74145</v>
      </c>
      <c r="BD63">
        <f ca="1">IFERROR(IF(0=LEN(ReferenceData!$BD$63),"",ReferenceData!$BD$63),"")</f>
        <v>73948</v>
      </c>
      <c r="BE63">
        <f ca="1">IFERROR(IF(0=LEN(ReferenceData!$BE$63),"",ReferenceData!$BE$63),"")</f>
        <v>74254</v>
      </c>
      <c r="BF63">
        <f ca="1">IFERROR(IF(0=LEN(ReferenceData!$BF$63),"",ReferenceData!$BF$63),"")</f>
        <v>70814</v>
      </c>
      <c r="BG63">
        <f ca="1">IFERROR(IF(0=LEN(ReferenceData!$BG$63),"",ReferenceData!$BG$63),"")</f>
        <v>68378</v>
      </c>
      <c r="BH63">
        <f ca="1">IFERROR(IF(0=LEN(ReferenceData!$BH$63),"",ReferenceData!$BH$63),"")</f>
        <v>65579</v>
      </c>
      <c r="BI63">
        <f ca="1">IFERROR(IF(0=LEN(ReferenceData!$BI$63),"",ReferenceData!$BI$63),"")</f>
        <v>60461</v>
      </c>
      <c r="BJ63">
        <f ca="1">IFERROR(IF(0=LEN(ReferenceData!$BJ$63),"",ReferenceData!$BJ$63),"")</f>
        <v>52978</v>
      </c>
      <c r="BK63">
        <f ca="1">IFERROR(IF(0=LEN(ReferenceData!$BK$63),"",ReferenceData!$BK$63),"")</f>
        <v>48963</v>
      </c>
      <c r="BL63">
        <f ca="1">IFERROR(IF(0=LEN(ReferenceData!$BL$63),"",ReferenceData!$BL$63),"")</f>
        <v>48367</v>
      </c>
      <c r="BM63" t="str">
        <f ca="1">IFERROR(IF(0=LEN(ReferenceData!$BM$63),"",ReferenceData!$BM$63),"")</f>
        <v/>
      </c>
    </row>
    <row r="64" spans="1:65" x14ac:dyDescent="0.25">
      <c r="A64" t="str">
        <f>IFERROR(IF(0=LEN(ReferenceData!$A$64),"",ReferenceData!$A$64),"")</f>
        <v xml:space="preserve">                Wells Fargo &amp; Co</v>
      </c>
      <c r="B64" t="str">
        <f>IFERROR(IF(0=LEN(ReferenceData!$B$64),"",ReferenceData!$B$64),"")</f>
        <v>WFC US Equity</v>
      </c>
      <c r="C64" t="str">
        <f>IFERROR(IF(0=LEN(ReferenceData!$C$64),"",ReferenceData!$C$64),"")</f>
        <v>FC023</v>
      </c>
      <c r="D64" t="str">
        <f>IFERROR(IF(0=LEN(ReferenceData!$D$64),"",ReferenceData!$D$64),"")</f>
        <v>FDIC_TOTAL_SECURITIES</v>
      </c>
      <c r="E64" t="str">
        <f>IFERROR(IF(0=LEN(ReferenceData!$E$64),"",ReferenceData!$E$64),"")</f>
        <v>Dynamic</v>
      </c>
      <c r="F64">
        <f ca="1">IFERROR(IF(0=LEN(ReferenceData!$F$64),"",ReferenceData!$F$64),"")</f>
        <v>398021</v>
      </c>
      <c r="G64">
        <f ca="1">IFERROR(IF(0=LEN(ReferenceData!$G$64),"",ReferenceData!$G$64),"")</f>
        <v>409245</v>
      </c>
      <c r="H64">
        <f ca="1">IFERROR(IF(0=LEN(ReferenceData!$H$64),"",ReferenceData!$H$64),"")</f>
        <v>399585</v>
      </c>
      <c r="I64">
        <f ca="1">IFERROR(IF(0=LEN(ReferenceData!$I$64),"",ReferenceData!$I$64),"")</f>
        <v>397051</v>
      </c>
      <c r="J64">
        <f ca="1">IFERROR(IF(0=LEN(ReferenceData!$J$64),"",ReferenceData!$J$64),"")</f>
        <v>393249</v>
      </c>
      <c r="K64">
        <f ca="1">IFERROR(IF(0=LEN(ReferenceData!$K$64),"",ReferenceData!$K$64),"")</f>
        <v>393738</v>
      </c>
      <c r="L64">
        <f ca="1">IFERROR(IF(0=LEN(ReferenceData!$L$64),"",ReferenceData!$L$64),"")</f>
        <v>406687</v>
      </c>
      <c r="M64">
        <f ca="1">IFERROR(IF(0=LEN(ReferenceData!$M$64),"",ReferenceData!$M$64),"")</f>
        <v>421622</v>
      </c>
      <c r="N64">
        <f ca="1">IFERROR(IF(0=LEN(ReferenceData!$N$64),"",ReferenceData!$N$64),"")</f>
        <v>410738</v>
      </c>
      <c r="O64">
        <f ca="1">IFERROR(IF(0=LEN(ReferenceData!$O$64),"",ReferenceData!$O$64),"")</f>
        <v>416365</v>
      </c>
      <c r="P64">
        <f ca="1">IFERROR(IF(0=LEN(ReferenceData!$P$64),"",ReferenceData!$P$64),"")</f>
        <v>427698</v>
      </c>
      <c r="Q64">
        <f ca="1">IFERROR(IF(0=LEN(ReferenceData!$Q$64),"",ReferenceData!$Q$64),"")</f>
        <v>449327</v>
      </c>
      <c r="R64">
        <f ca="1">IFERROR(IF(0=LEN(ReferenceData!$R$64),"",ReferenceData!$R$64),"")</f>
        <v>449362</v>
      </c>
      <c r="S64">
        <f ca="1">IFERROR(IF(0=LEN(ReferenceData!$S$64),"",ReferenceData!$S$64),"")</f>
        <v>448123</v>
      </c>
      <c r="T64">
        <f ca="1">IFERROR(IF(0=LEN(ReferenceData!$T$64),"",ReferenceData!$T$64),"")</f>
        <v>450915</v>
      </c>
      <c r="U64">
        <f ca="1">IFERROR(IF(0=LEN(ReferenceData!$U$64),"",ReferenceData!$U$64),"")</f>
        <v>433130</v>
      </c>
      <c r="V64">
        <f ca="1">IFERROR(IF(0=LEN(ReferenceData!$V$64),"",ReferenceData!$V$64),"")</f>
        <v>426153</v>
      </c>
      <c r="W64">
        <f ca="1">IFERROR(IF(0=LEN(ReferenceData!$W$64),"",ReferenceData!$W$64),"")</f>
        <v>403194</v>
      </c>
      <c r="X64">
        <f ca="1">IFERROR(IF(0=LEN(ReferenceData!$X$64),"",ReferenceData!$X$64),"")</f>
        <v>397921</v>
      </c>
      <c r="Y64">
        <f ca="1">IFERROR(IF(0=LEN(ReferenceData!$Y$64),"",ReferenceData!$Y$64),"")</f>
        <v>421149</v>
      </c>
      <c r="Z64">
        <f ca="1">IFERROR(IF(0=LEN(ReferenceData!$Z$64),"",ReferenceData!$Z$64),"")</f>
        <v>417392</v>
      </c>
      <c r="AA64">
        <f ca="1">IFERROR(IF(0=LEN(ReferenceData!$AA$64),"",ReferenceData!$AA$64),"")</f>
        <v>424415</v>
      </c>
      <c r="AB64">
        <f ca="1">IFERROR(IF(0=LEN(ReferenceData!$AB$64),"",ReferenceData!$AB$64),"")</f>
        <v>411859</v>
      </c>
      <c r="AC64">
        <f ca="1">IFERROR(IF(0=LEN(ReferenceData!$AC$64),"",ReferenceData!$AC$64),"")</f>
        <v>413089</v>
      </c>
      <c r="AD64">
        <f ca="1">IFERROR(IF(0=LEN(ReferenceData!$AD$64),"",ReferenceData!$AD$64),"")</f>
        <v>414700</v>
      </c>
      <c r="AE64">
        <f ca="1">IFERROR(IF(0=LEN(ReferenceData!$AE$64),"",ReferenceData!$AE$64),"")</f>
        <v>407095</v>
      </c>
      <c r="AF64">
        <f ca="1">IFERROR(IF(0=LEN(ReferenceData!$AF$64),"",ReferenceData!$AF$64),"")</f>
        <v>409893</v>
      </c>
      <c r="AG64">
        <f ca="1">IFERROR(IF(0=LEN(ReferenceData!$AG$64),"",ReferenceData!$AG$64),"")</f>
        <v>413102</v>
      </c>
      <c r="AH64">
        <f ca="1">IFERROR(IF(0=LEN(ReferenceData!$AH$64),"",ReferenceData!$AH$64),"")</f>
        <v>417421</v>
      </c>
      <c r="AI64">
        <f ca="1">IFERROR(IF(0=LEN(ReferenceData!$AI$64),"",ReferenceData!$AI$64),"")</f>
        <v>415146</v>
      </c>
      <c r="AJ64">
        <f ca="1">IFERROR(IF(0=LEN(ReferenceData!$AJ$64),"",ReferenceData!$AJ$64),"")</f>
        <v>410557</v>
      </c>
      <c r="AK64">
        <f ca="1">IFERROR(IF(0=LEN(ReferenceData!$AK$64),"",ReferenceData!$AK$64),"")</f>
        <v>408683</v>
      </c>
      <c r="AL64">
        <f ca="1">IFERROR(IF(0=LEN(ReferenceData!$AL$64),"",ReferenceData!$AL$64),"")</f>
        <v>408737</v>
      </c>
      <c r="AM64">
        <f ca="1">IFERROR(IF(0=LEN(ReferenceData!$AM$64),"",ReferenceData!$AM$64),"")</f>
        <v>392675</v>
      </c>
      <c r="AN64">
        <f ca="1">IFERROR(IF(0=LEN(ReferenceData!$AN$64),"",ReferenceData!$AN$64),"")</f>
        <v>359930</v>
      </c>
      <c r="AO64">
        <f ca="1">IFERROR(IF(0=LEN(ReferenceData!$AO$64),"",ReferenceData!$AO$64),"")</f>
        <v>339887</v>
      </c>
      <c r="AP64">
        <f ca="1">IFERROR(IF(0=LEN(ReferenceData!$AP$64),"",ReferenceData!$AP$64),"")</f>
        <v>348017</v>
      </c>
      <c r="AQ64">
        <f ca="1">IFERROR(IF(0=LEN(ReferenceData!$AQ$64),"",ReferenceData!$AQ$64),"")</f>
        <v>345550</v>
      </c>
      <c r="AR64">
        <f ca="1">IFERROR(IF(0=LEN(ReferenceData!$AR$64),"",ReferenceData!$AR$64),"")</f>
        <v>340977</v>
      </c>
      <c r="AS64">
        <f ca="1">IFERROR(IF(0=LEN(ReferenceData!$AS$64),"",ReferenceData!$AS$64),"")</f>
        <v>325028</v>
      </c>
      <c r="AT64">
        <f ca="1">IFERROR(IF(0=LEN(ReferenceData!$AT$64),"",ReferenceData!$AT$64),"")</f>
        <v>313439</v>
      </c>
      <c r="AU64">
        <f ca="1">IFERROR(IF(0=LEN(ReferenceData!$AU$64),"",ReferenceData!$AU$64),"")</f>
        <v>290208</v>
      </c>
      <c r="AV64">
        <f ca="1">IFERROR(IF(0=LEN(ReferenceData!$AV$64),"",ReferenceData!$AV$64),"")</f>
        <v>279864</v>
      </c>
      <c r="AW64">
        <f ca="1">IFERROR(IF(0=LEN(ReferenceData!$AW$64),"",ReferenceData!$AW$64),"")</f>
        <v>271031</v>
      </c>
      <c r="AX64">
        <f ca="1">IFERROR(IF(0=LEN(ReferenceData!$AX$64),"",ReferenceData!$AX$64),"")</f>
        <v>265029</v>
      </c>
      <c r="AY64">
        <f ca="1">IFERROR(IF(0=LEN(ReferenceData!$AY$64),"",ReferenceData!$AY$64),"")</f>
        <v>259874</v>
      </c>
      <c r="AZ64">
        <f ca="1">IFERROR(IF(0=LEN(ReferenceData!$AZ$64),"",ReferenceData!$AZ$64),"")</f>
        <v>249439</v>
      </c>
      <c r="BA64">
        <f ca="1">IFERROR(IF(0=LEN(ReferenceData!$BA$64),"",ReferenceData!$BA$64),"")</f>
        <v>248160</v>
      </c>
      <c r="BB64">
        <f ca="1">IFERROR(IF(0=LEN(ReferenceData!$BB$64),"",ReferenceData!$BB$64),"")</f>
        <v>235199</v>
      </c>
      <c r="BC64">
        <f ca="1">IFERROR(IF(0=LEN(ReferenceData!$BC$64),"",ReferenceData!$BC$64),"")</f>
        <v>229350</v>
      </c>
      <c r="BD64">
        <f ca="1">IFERROR(IF(0=LEN(ReferenceData!$BD$64),"",ReferenceData!$BD$64),"")</f>
        <v>226846</v>
      </c>
      <c r="BE64">
        <f ca="1">IFERROR(IF(0=LEN(ReferenceData!$BE$64),"",ReferenceData!$BE$64),"")</f>
        <v>230266</v>
      </c>
      <c r="BF64">
        <f ca="1">IFERROR(IF(0=LEN(ReferenceData!$BF$64),"",ReferenceData!$BF$64),"")</f>
        <v>222613</v>
      </c>
      <c r="BG64">
        <f ca="1">IFERROR(IF(0=LEN(ReferenceData!$BG$64),"",ReferenceData!$BG$64),"")</f>
        <v>207176</v>
      </c>
      <c r="BH64">
        <f ca="1">IFERROR(IF(0=LEN(ReferenceData!$BH$64),"",ReferenceData!$BH$64),"")</f>
        <v>186298</v>
      </c>
      <c r="BI64">
        <f ca="1">IFERROR(IF(0=LEN(ReferenceData!$BI$64),"",ReferenceData!$BI$64),"")</f>
        <v>167906</v>
      </c>
      <c r="BJ64">
        <f ca="1">IFERROR(IF(0=LEN(ReferenceData!$BJ$64),"",ReferenceData!$BJ$64),"")</f>
        <v>172654</v>
      </c>
      <c r="BK64">
        <f ca="1">IFERROR(IF(0=LEN(ReferenceData!$BK$64),"",ReferenceData!$BK$64),"")</f>
        <v>176875</v>
      </c>
      <c r="BL64">
        <f ca="1">IFERROR(IF(0=LEN(ReferenceData!$BL$64),"",ReferenceData!$BL$64),"")</f>
        <v>157931</v>
      </c>
      <c r="BM64" t="str">
        <f ca="1">IFERROR(IF(0=LEN(ReferenceData!$BM$64),"",ReferenceData!$BM$64),"")</f>
        <v/>
      </c>
    </row>
    <row r="65" spans="1:65" x14ac:dyDescent="0.25">
      <c r="A65" t="str">
        <f>IFERROR(IF(0=LEN(ReferenceData!$A$65),"",ReferenceData!$A$65),"")</f>
        <v xml:space="preserve">                Western Alliance Bancorp</v>
      </c>
      <c r="B65" t="str">
        <f>IFERROR(IF(0=LEN(ReferenceData!$B$65),"",ReferenceData!$B$65),"")</f>
        <v>WAL US Equity</v>
      </c>
      <c r="C65" t="str">
        <f>IFERROR(IF(0=LEN(ReferenceData!$C$65),"",ReferenceData!$C$65),"")</f>
        <v>FC023</v>
      </c>
      <c r="D65" t="str">
        <f>IFERROR(IF(0=LEN(ReferenceData!$D$65),"",ReferenceData!$D$65),"")</f>
        <v>FDIC_TOTAL_SECURITIES</v>
      </c>
      <c r="E65" t="str">
        <f>IFERROR(IF(0=LEN(ReferenceData!$E$65),"",ReferenceData!$E$65),"")</f>
        <v>Dynamic</v>
      </c>
      <c r="F65">
        <f ca="1">IFERROR(IF(0=LEN(ReferenceData!$F$65),"",ReferenceData!$F$65),"")</f>
        <v>14995.195</v>
      </c>
      <c r="G65">
        <f ca="1">IFERROR(IF(0=LEN(ReferenceData!$G$65),"",ReferenceData!$G$65),"")</f>
        <v>16274.566000000001</v>
      </c>
      <c r="H65">
        <f ca="1">IFERROR(IF(0=LEN(ReferenceData!$H$65),"",ReferenceData!$H$65),"")</f>
        <v>17162.75</v>
      </c>
      <c r="I65">
        <f ca="1">IFERROR(IF(0=LEN(ReferenceData!$I$65),"",ReferenceData!$I$65),"")</f>
        <v>15970.437</v>
      </c>
      <c r="J65">
        <f ca="1">IFERROR(IF(0=LEN(ReferenceData!$J$65),"",ReferenceData!$J$65),"")</f>
        <v>12593.78</v>
      </c>
      <c r="K65">
        <f ca="1">IFERROR(IF(0=LEN(ReferenceData!$K$65),"",ReferenceData!$K$65),"")</f>
        <v>11089.68</v>
      </c>
      <c r="L65">
        <f ca="1">IFERROR(IF(0=LEN(ReferenceData!$L$65),"",ReferenceData!$L$65),"")</f>
        <v>9998.0300000000007</v>
      </c>
      <c r="M65">
        <f ca="1">IFERROR(IF(0=LEN(ReferenceData!$M$65),"",ReferenceData!$M$65),"")</f>
        <v>8970.8240000000005</v>
      </c>
      <c r="N65">
        <f ca="1">IFERROR(IF(0=LEN(ReferenceData!$N$65),"",ReferenceData!$N$65),"")</f>
        <v>8381.2800000000007</v>
      </c>
      <c r="O65">
        <f ca="1">IFERROR(IF(0=LEN(ReferenceData!$O$65),"",ReferenceData!$O$65),"")</f>
        <v>8229.9519999999993</v>
      </c>
      <c r="P65">
        <f ca="1">IFERROR(IF(0=LEN(ReferenceData!$P$65),"",ReferenceData!$P$65),"")</f>
        <v>8485.56</v>
      </c>
      <c r="Q65">
        <f ca="1">IFERROR(IF(0=LEN(ReferenceData!$Q$65),"",ReferenceData!$Q$65),"")</f>
        <v>8013.16</v>
      </c>
      <c r="R65">
        <f ca="1">IFERROR(IF(0=LEN(ReferenceData!$R$65),"",ReferenceData!$R$65),"")</f>
        <v>7295.95</v>
      </c>
      <c r="S65">
        <f ca="1">IFERROR(IF(0=LEN(ReferenceData!$S$65),"",ReferenceData!$S$65),"")</f>
        <v>7430.55</v>
      </c>
      <c r="T65">
        <f ca="1">IFERROR(IF(0=LEN(ReferenceData!$T$65),"",ReferenceData!$T$65),"")</f>
        <v>7583.8710000000001</v>
      </c>
      <c r="U65">
        <f ca="1">IFERROR(IF(0=LEN(ReferenceData!$U$65),"",ReferenceData!$U$65),"")</f>
        <v>7637.9070000000002</v>
      </c>
      <c r="V65">
        <f ca="1">IFERROR(IF(0=LEN(ReferenceData!$V$65),"",ReferenceData!$V$65),"")</f>
        <v>5277.27</v>
      </c>
      <c r="W65">
        <f ca="1">IFERROR(IF(0=LEN(ReferenceData!$W$65),"",ReferenceData!$W$65),"")</f>
        <v>4479.7020000000002</v>
      </c>
      <c r="X65">
        <f ca="1">IFERROR(IF(0=LEN(ReferenceData!$X$65),"",ReferenceData!$X$65),"")</f>
        <v>3996.3020000000001</v>
      </c>
      <c r="Y65">
        <f ca="1">IFERROR(IF(0=LEN(ReferenceData!$Y$65),"",ReferenceData!$Y$65),"")</f>
        <v>4160.4260000000004</v>
      </c>
      <c r="Z65">
        <f ca="1">IFERROR(IF(0=LEN(ReferenceData!$Z$65),"",ReferenceData!$Z$65),"")</f>
        <v>3831.4169999999999</v>
      </c>
      <c r="AA65">
        <f ca="1">IFERROR(IF(0=LEN(ReferenceData!$AA$65),"",ReferenceData!$AA$65),"")</f>
        <v>3955.2240000000002</v>
      </c>
      <c r="AB65">
        <f ca="1">IFERROR(IF(0=LEN(ReferenceData!$AB$65),"",ReferenceData!$AB$65),"")</f>
        <v>3689.0909999999999</v>
      </c>
      <c r="AC65">
        <f ca="1">IFERROR(IF(0=LEN(ReferenceData!$AC$65),"",ReferenceData!$AC$65),"")</f>
        <v>3555.1120000000001</v>
      </c>
      <c r="AD65">
        <f ca="1">IFERROR(IF(0=LEN(ReferenceData!$AD$65),"",ReferenceData!$AD$65),"")</f>
        <v>3579.893</v>
      </c>
      <c r="AE65">
        <f ca="1">IFERROR(IF(0=LEN(ReferenceData!$AE$65),"",ReferenceData!$AE$65),"")</f>
        <v>3395.366</v>
      </c>
      <c r="AF65">
        <f ca="1">IFERROR(IF(0=LEN(ReferenceData!$AF$65),"",ReferenceData!$AF$65),"")</f>
        <v>3479.201</v>
      </c>
      <c r="AG65">
        <f ca="1">IFERROR(IF(0=LEN(ReferenceData!$AG$65),"",ReferenceData!$AG$65),"")</f>
        <v>3523.6019999999999</v>
      </c>
      <c r="AH65">
        <f ca="1">IFERROR(IF(0=LEN(ReferenceData!$AH$65),"",ReferenceData!$AH$65),"")</f>
        <v>3754.569</v>
      </c>
      <c r="AI65">
        <f ca="1">IFERROR(IF(0=LEN(ReferenceData!$AI$65),"",ReferenceData!$AI$65),"")</f>
        <v>3707.7640000000001</v>
      </c>
      <c r="AJ65">
        <f ca="1">IFERROR(IF(0=LEN(ReferenceData!$AJ$65),"",ReferenceData!$AJ$65),"")</f>
        <v>3217.46</v>
      </c>
      <c r="AK65">
        <f ca="1">IFERROR(IF(0=LEN(ReferenceData!$AK$65),"",ReferenceData!$AK$65),"")</f>
        <v>2802.6010000000001</v>
      </c>
      <c r="AL65">
        <f ca="1">IFERROR(IF(0=LEN(ReferenceData!$AL$65),"",ReferenceData!$AL$65),"")</f>
        <v>2701.4589999999998</v>
      </c>
      <c r="AM65">
        <f ca="1">IFERROR(IF(0=LEN(ReferenceData!$AM$65),"",ReferenceData!$AM$65),"")</f>
        <v>2711.6030000000001</v>
      </c>
      <c r="AN65">
        <f ca="1">IFERROR(IF(0=LEN(ReferenceData!$AN$65),"",ReferenceData!$AN$65),"")</f>
        <v>2202.4679999999998</v>
      </c>
      <c r="AO65">
        <f ca="1">IFERROR(IF(0=LEN(ReferenceData!$AO$65),"",ReferenceData!$AO$65),"")</f>
        <v>2034.3340000000001</v>
      </c>
      <c r="AP65">
        <f ca="1">IFERROR(IF(0=LEN(ReferenceData!$AP$65),"",ReferenceData!$AP$65),"")</f>
        <v>1982.5229999999999</v>
      </c>
      <c r="AQ65">
        <f ca="1">IFERROR(IF(0=LEN(ReferenceData!$AQ$65),"",ReferenceData!$AQ$65),"")</f>
        <v>1932.98</v>
      </c>
      <c r="AR65">
        <f ca="1">IFERROR(IF(0=LEN(ReferenceData!$AR$65),"",ReferenceData!$AR$65),"")</f>
        <v>1478.2339999999999</v>
      </c>
      <c r="AS65">
        <f ca="1">IFERROR(IF(0=LEN(ReferenceData!$AS$65),"",ReferenceData!$AS$65),"")</f>
        <v>1399.4280000000001</v>
      </c>
      <c r="AT65">
        <f ca="1">IFERROR(IF(0=LEN(ReferenceData!$AT$65),"",ReferenceData!$AT$65),"")</f>
        <v>1520.2370000000001</v>
      </c>
      <c r="AU65">
        <f ca="1">IFERROR(IF(0=LEN(ReferenceData!$AU$65),"",ReferenceData!$AU$65),"")</f>
        <v>1570.0619999999999</v>
      </c>
      <c r="AV65">
        <f ca="1">IFERROR(IF(0=LEN(ReferenceData!$AV$65),"",ReferenceData!$AV$65),"")</f>
        <v>1578.6790000000001</v>
      </c>
      <c r="AW65">
        <f ca="1">IFERROR(IF(0=LEN(ReferenceData!$AW$65),"",ReferenceData!$AW$65),"")</f>
        <v>1643.0219999999999</v>
      </c>
      <c r="AX65">
        <f ca="1">IFERROR(IF(0=LEN(ReferenceData!$AX$65),"",ReferenceData!$AX$65),"")</f>
        <v>1656.3340000000001</v>
      </c>
      <c r="AY65">
        <f ca="1">IFERROR(IF(0=LEN(ReferenceData!$AY$65),"",ReferenceData!$AY$65),"")</f>
        <v>1367.17</v>
      </c>
      <c r="AZ65">
        <f ca="1">IFERROR(IF(0=LEN(ReferenceData!$AZ$65),"",ReferenceData!$AZ$65),"")</f>
        <v>1277.9880000000001</v>
      </c>
      <c r="BA65">
        <f ca="1">IFERROR(IF(0=LEN(ReferenceData!$BA$65),"",ReferenceData!$BA$65),"")</f>
        <v>1297.5719999999999</v>
      </c>
      <c r="BB65">
        <f ca="1">IFERROR(IF(0=LEN(ReferenceData!$BB$65),"",ReferenceData!$BB$65),"")</f>
        <v>1231.587</v>
      </c>
      <c r="BC65">
        <f ca="1">IFERROR(IF(0=LEN(ReferenceData!$BC$65),"",ReferenceData!$BC$65),"")</f>
        <v>1333.375</v>
      </c>
      <c r="BD65">
        <f ca="1">IFERROR(IF(0=LEN(ReferenceData!$BD$65),"",ReferenceData!$BD$65),"")</f>
        <v>1395.65</v>
      </c>
      <c r="BE65">
        <f ca="1">IFERROR(IF(0=LEN(ReferenceData!$BE$65),"",ReferenceData!$BE$65),"")</f>
        <v>1417.068</v>
      </c>
      <c r="BF65">
        <f ca="1">IFERROR(IF(0=LEN(ReferenceData!$BF$65),"",ReferenceData!$BF$65),"")</f>
        <v>1483.9860000000001</v>
      </c>
      <c r="BG65">
        <f ca="1">IFERROR(IF(0=LEN(ReferenceData!$BG$65),"",ReferenceData!$BG$65),"")</f>
        <v>1297.6569999999999</v>
      </c>
      <c r="BH65">
        <f ca="1">IFERROR(IF(0=LEN(ReferenceData!$BH$65),"",ReferenceData!$BH$65),"")</f>
        <v>1130.991</v>
      </c>
      <c r="BI65">
        <f ca="1">IFERROR(IF(0=LEN(ReferenceData!$BI$65),"",ReferenceData!$BI$65),"")</f>
        <v>1308.991</v>
      </c>
      <c r="BJ65">
        <f ca="1">IFERROR(IF(0=LEN(ReferenceData!$BJ$65),"",ReferenceData!$BJ$65),"")</f>
        <v>1258.797</v>
      </c>
      <c r="BK65">
        <f ca="1">IFERROR(IF(0=LEN(ReferenceData!$BK$65),"",ReferenceData!$BK$65),"")</f>
        <v>897.274</v>
      </c>
      <c r="BL65">
        <f ca="1">IFERROR(IF(0=LEN(ReferenceData!$BL$65),"",ReferenceData!$BL$65),"")</f>
        <v>807.95699999999999</v>
      </c>
      <c r="BM65" t="str">
        <f ca="1">IFERROR(IF(0=LEN(ReferenceData!$BM$65),"",ReferenceData!$BM$65),"")</f>
        <v/>
      </c>
    </row>
    <row r="66" spans="1:65" x14ac:dyDescent="0.25">
      <c r="A66" t="str">
        <f>IFERROR(IF(0=LEN(ReferenceData!$A$66),"",ReferenceData!$A$66),"")</f>
        <v xml:space="preserve">                Zions Bancorp NA</v>
      </c>
      <c r="B66" t="str">
        <f>IFERROR(IF(0=LEN(ReferenceData!$B$66),"",ReferenceData!$B$66),"")</f>
        <v>ZION US Equity</v>
      </c>
      <c r="C66" t="str">
        <f>IFERROR(IF(0=LEN(ReferenceData!$C$66),"",ReferenceData!$C$66),"")</f>
        <v>FC023</v>
      </c>
      <c r="D66" t="str">
        <f>IFERROR(IF(0=LEN(ReferenceData!$D$66),"",ReferenceData!$D$66),"")</f>
        <v>FDIC_TOTAL_SECURITIES</v>
      </c>
      <c r="E66" t="str">
        <f>IFERROR(IF(0=LEN(ReferenceData!$E$66),"",ReferenceData!$E$66),"")</f>
        <v>Dynamic</v>
      </c>
      <c r="F66" t="str">
        <f ca="1">IFERROR(IF(0=LEN(ReferenceData!$F$66),"",ReferenceData!$F$66),"")</f>
        <v/>
      </c>
      <c r="G66" t="str">
        <f ca="1">IFERROR(IF(0=LEN(ReferenceData!$G$66),"",ReferenceData!$G$66),"")</f>
        <v/>
      </c>
      <c r="H66">
        <f ca="1">IFERROR(IF(0=LEN(ReferenceData!$H$66),"",ReferenceData!$H$66),"")</f>
        <v>19755.275000000001</v>
      </c>
      <c r="I66">
        <f ca="1">IFERROR(IF(0=LEN(ReferenceData!$I$66),"",ReferenceData!$I$66),"")</f>
        <v>20312.064999999999</v>
      </c>
      <c r="J66">
        <f ca="1">IFERROR(IF(0=LEN(ReferenceData!$J$66),"",ReferenceData!$J$66),"")</f>
        <v>21160.696</v>
      </c>
      <c r="K66">
        <f ca="1">IFERROR(IF(0=LEN(ReferenceData!$K$66),"",ReferenceData!$K$66),"")</f>
        <v>20936.105</v>
      </c>
      <c r="L66">
        <f ca="1">IFERROR(IF(0=LEN(ReferenceData!$L$66),"",ReferenceData!$L$66),"")</f>
        <v>21687.883000000002</v>
      </c>
      <c r="M66">
        <f ca="1">IFERROR(IF(0=LEN(ReferenceData!$M$66),"",ReferenceData!$M$66),"")</f>
        <v>22930.731</v>
      </c>
      <c r="N66">
        <f ca="1">IFERROR(IF(0=LEN(ReferenceData!$N$66),"",ReferenceData!$N$66),"")</f>
        <v>23434.858</v>
      </c>
      <c r="O66">
        <f ca="1">IFERROR(IF(0=LEN(ReferenceData!$O$66),"",ReferenceData!$O$66),"")</f>
        <v>23656.143</v>
      </c>
      <c r="P66">
        <f ca="1">IFERROR(IF(0=LEN(ReferenceData!$P$66),"",ReferenceData!$P$66),"")</f>
        <v>25910.753000000001</v>
      </c>
      <c r="Q66">
        <f ca="1">IFERROR(IF(0=LEN(ReferenceData!$Q$66),"",ReferenceData!$Q$66),"")</f>
        <v>26583.671999999999</v>
      </c>
      <c r="R66">
        <f ca="1">IFERROR(IF(0=LEN(ReferenceData!$R$66),"",ReferenceData!$R$66),"")</f>
        <v>24489.09</v>
      </c>
      <c r="S66">
        <f ca="1">IFERROR(IF(0=LEN(ReferenceData!$S$66),"",ReferenceData!$S$66),"")</f>
        <v>20919.72</v>
      </c>
      <c r="T66">
        <f ca="1">IFERROR(IF(0=LEN(ReferenceData!$T$66),"",ReferenceData!$T$66),"")</f>
        <v>18790.311000000002</v>
      </c>
      <c r="U66">
        <f ca="1">IFERROR(IF(0=LEN(ReferenceData!$U$66),"",ReferenceData!$U$66),"")</f>
        <v>17226.535</v>
      </c>
      <c r="V66" t="str">
        <f ca="1">IFERROR(IF(0=LEN(ReferenceData!$V$66),"",ReferenceData!$V$66),"")</f>
        <v/>
      </c>
      <c r="W66" t="str">
        <f ca="1">IFERROR(IF(0=LEN(ReferenceData!$W$66),"",ReferenceData!$W$66),"")</f>
        <v/>
      </c>
      <c r="X66" t="str">
        <f ca="1">IFERROR(IF(0=LEN(ReferenceData!$X$66),"",ReferenceData!$X$66),"")</f>
        <v/>
      </c>
      <c r="Y66" t="str">
        <f ca="1">IFERROR(IF(0=LEN(ReferenceData!$Y$66),"",ReferenceData!$Y$66),"")</f>
        <v/>
      </c>
      <c r="Z66" t="str">
        <f ca="1">IFERROR(IF(0=LEN(ReferenceData!$Z$66),"",ReferenceData!$Z$66),"")</f>
        <v/>
      </c>
      <c r="AA66" t="str">
        <f ca="1">IFERROR(IF(0=LEN(ReferenceData!$AA$66),"",ReferenceData!$AA$66),"")</f>
        <v/>
      </c>
      <c r="AB66" t="str">
        <f ca="1">IFERROR(IF(0=LEN(ReferenceData!$AB$66),"",ReferenceData!$AB$66),"")</f>
        <v/>
      </c>
      <c r="AC66" t="str">
        <f ca="1">IFERROR(IF(0=LEN(ReferenceData!$AC$66),"",ReferenceData!$AC$66),"")</f>
        <v/>
      </c>
      <c r="AD66" t="str">
        <f ca="1">IFERROR(IF(0=LEN(ReferenceData!$AD$66),"",ReferenceData!$AD$66),"")</f>
        <v/>
      </c>
      <c r="AE66" t="str">
        <f ca="1">IFERROR(IF(0=LEN(ReferenceData!$AE$66),"",ReferenceData!$AE$66),"")</f>
        <v/>
      </c>
      <c r="AF66" t="str">
        <f ca="1">IFERROR(IF(0=LEN(ReferenceData!$AF$66),"",ReferenceData!$AF$66),"")</f>
        <v/>
      </c>
      <c r="AG66" t="str">
        <f ca="1">IFERROR(IF(0=LEN(ReferenceData!$AG$66),"",ReferenceData!$AG$66),"")</f>
        <v/>
      </c>
      <c r="AH66" t="str">
        <f ca="1">IFERROR(IF(0=LEN(ReferenceData!$AH$66),"",ReferenceData!$AH$66),"")</f>
        <v/>
      </c>
      <c r="AI66" t="str">
        <f ca="1">IFERROR(IF(0=LEN(ReferenceData!$AI$66),"",ReferenceData!$AI$66),"")</f>
        <v/>
      </c>
      <c r="AJ66" t="str">
        <f ca="1">IFERROR(IF(0=LEN(ReferenceData!$AJ$66),"",ReferenceData!$AJ$66),"")</f>
        <v/>
      </c>
      <c r="AK66" t="str">
        <f ca="1">IFERROR(IF(0=LEN(ReferenceData!$AK$66),"",ReferenceData!$AK$66),"")</f>
        <v/>
      </c>
      <c r="AL66" t="str">
        <f ca="1">IFERROR(IF(0=LEN(ReferenceData!$AL$66),"",ReferenceData!$AL$66),"")</f>
        <v/>
      </c>
      <c r="AM66" t="str">
        <f ca="1">IFERROR(IF(0=LEN(ReferenceData!$AM$66),"",ReferenceData!$AM$66),"")</f>
        <v/>
      </c>
      <c r="AN66" t="str">
        <f ca="1">IFERROR(IF(0=LEN(ReferenceData!$AN$66),"",ReferenceData!$AN$66),"")</f>
        <v/>
      </c>
      <c r="AO66" t="str">
        <f ca="1">IFERROR(IF(0=LEN(ReferenceData!$AO$66),"",ReferenceData!$AO$66),"")</f>
        <v/>
      </c>
      <c r="AP66" t="str">
        <f ca="1">IFERROR(IF(0=LEN(ReferenceData!$AP$66),"",ReferenceData!$AP$66),"")</f>
        <v/>
      </c>
      <c r="AQ66" t="str">
        <f ca="1">IFERROR(IF(0=LEN(ReferenceData!$AQ$66),"",ReferenceData!$AQ$66),"")</f>
        <v/>
      </c>
      <c r="AR66" t="str">
        <f ca="1">IFERROR(IF(0=LEN(ReferenceData!$AR$66),"",ReferenceData!$AR$66),"")</f>
        <v/>
      </c>
      <c r="AS66" t="str">
        <f ca="1">IFERROR(IF(0=LEN(ReferenceData!$AS$66),"",ReferenceData!$AS$66),"")</f>
        <v/>
      </c>
      <c r="AT66" t="str">
        <f ca="1">IFERROR(IF(0=LEN(ReferenceData!$AT$66),"",ReferenceData!$AT$66),"")</f>
        <v/>
      </c>
      <c r="AU66" t="str">
        <f ca="1">IFERROR(IF(0=LEN(ReferenceData!$AU$66),"",ReferenceData!$AU$66),"")</f>
        <v/>
      </c>
      <c r="AV66" t="str">
        <f ca="1">IFERROR(IF(0=LEN(ReferenceData!$AV$66),"",ReferenceData!$AV$66),"")</f>
        <v/>
      </c>
      <c r="AW66" t="str">
        <f ca="1">IFERROR(IF(0=LEN(ReferenceData!$AW$66),"",ReferenceData!$AW$66),"")</f>
        <v/>
      </c>
      <c r="AX66" t="str">
        <f ca="1">IFERROR(IF(0=LEN(ReferenceData!$AX$66),"",ReferenceData!$AX$66),"")</f>
        <v/>
      </c>
      <c r="AY66" t="str">
        <f ca="1">IFERROR(IF(0=LEN(ReferenceData!$AY$66),"",ReferenceData!$AY$66),"")</f>
        <v/>
      </c>
      <c r="AZ66" t="str">
        <f ca="1">IFERROR(IF(0=LEN(ReferenceData!$AZ$66),"",ReferenceData!$AZ$66),"")</f>
        <v/>
      </c>
      <c r="BA66" t="str">
        <f ca="1">IFERROR(IF(0=LEN(ReferenceData!$BA$66),"",ReferenceData!$BA$66),"")</f>
        <v/>
      </c>
      <c r="BB66" t="str">
        <f ca="1">IFERROR(IF(0=LEN(ReferenceData!$BB$66),"",ReferenceData!$BB$66),"")</f>
        <v/>
      </c>
      <c r="BC66" t="str">
        <f ca="1">IFERROR(IF(0=LEN(ReferenceData!$BC$66),"",ReferenceData!$BC$66),"")</f>
        <v/>
      </c>
      <c r="BD66" t="str">
        <f ca="1">IFERROR(IF(0=LEN(ReferenceData!$BD$66),"",ReferenceData!$BD$66),"")</f>
        <v/>
      </c>
      <c r="BE66" t="str">
        <f ca="1">IFERROR(IF(0=LEN(ReferenceData!$BE$66),"",ReferenceData!$BE$66),"")</f>
        <v/>
      </c>
      <c r="BF66" t="str">
        <f ca="1">IFERROR(IF(0=LEN(ReferenceData!$BF$66),"",ReferenceData!$BF$66),"")</f>
        <v/>
      </c>
      <c r="BG66" t="str">
        <f ca="1">IFERROR(IF(0=LEN(ReferenceData!$BG$66),"",ReferenceData!$BG$66),"")</f>
        <v/>
      </c>
      <c r="BH66" t="str">
        <f ca="1">IFERROR(IF(0=LEN(ReferenceData!$BH$66),"",ReferenceData!$BH$66),"")</f>
        <v/>
      </c>
      <c r="BI66" t="str">
        <f ca="1">IFERROR(IF(0=LEN(ReferenceData!$BI$66),"",ReferenceData!$BI$66),"")</f>
        <v/>
      </c>
      <c r="BJ66" t="str">
        <f ca="1">IFERROR(IF(0=LEN(ReferenceData!$BJ$66),"",ReferenceData!$BJ$66),"")</f>
        <v/>
      </c>
      <c r="BK66" t="str">
        <f ca="1">IFERROR(IF(0=LEN(ReferenceData!$BK$66),"",ReferenceData!$BK$66),"")</f>
        <v/>
      </c>
      <c r="BL66" t="str">
        <f ca="1">IFERROR(IF(0=LEN(ReferenceData!$BL$66),"",ReferenceData!$BL$66),"")</f>
        <v/>
      </c>
      <c r="BM66" t="str">
        <f ca="1">IFERROR(IF(0=LEN(ReferenceData!$BM$66),"",ReferenceData!$BM$66),"")</f>
        <v/>
      </c>
    </row>
    <row r="67" spans="1:65" x14ac:dyDescent="0.25">
      <c r="A67" t="str">
        <f>IFERROR(IF(0=LEN(ReferenceData!$A$67),"",ReferenceData!$A$67),"")</f>
        <v>Balance Sheet - Assets - Trading Assets</v>
      </c>
      <c r="B67" t="str">
        <f>IFERROR(IF(0=LEN(ReferenceData!$B$67),"",ReferenceData!$B$67),"")</f>
        <v/>
      </c>
      <c r="C67" t="str">
        <f>IFERROR(IF(0=LEN(ReferenceData!$C$67),"",ReferenceData!$C$67),"")</f>
        <v/>
      </c>
      <c r="D67" t="str">
        <f>IFERROR(IF(0=LEN(ReferenceData!$D$67),"",ReferenceData!$D$67),"")</f>
        <v/>
      </c>
      <c r="E67" t="str">
        <f>IFERROR(IF(0=LEN(ReferenceData!$E$67),"",ReferenceData!$E$67),"")</f>
        <v>Sum</v>
      </c>
      <c r="F67">
        <f ca="1">IFERROR(IF(0=LEN(ReferenceData!$F$67),"",ReferenceData!$F$67),"")</f>
        <v>1627213.5310000002</v>
      </c>
      <c r="G67">
        <f ca="1">IFERROR(IF(0=LEN(ReferenceData!$G$67),"",ReferenceData!$G$67),"")</f>
        <v>1813950.2049999998</v>
      </c>
      <c r="H67">
        <f ca="1">IFERROR(IF(0=LEN(ReferenceData!$H$67),"",ReferenceData!$H$67),"")</f>
        <v>1717367.7949999997</v>
      </c>
      <c r="I67">
        <f ca="1">IFERROR(IF(0=LEN(ReferenceData!$I$67),"",ReferenceData!$I$67),"")</f>
        <v>1720309.949</v>
      </c>
      <c r="J67">
        <f ca="1">IFERROR(IF(0=LEN(ReferenceData!$J$67),"",ReferenceData!$J$67),"")</f>
        <v>1435668.5689999999</v>
      </c>
      <c r="K67">
        <f ca="1">IFERROR(IF(0=LEN(ReferenceData!$K$67),"",ReferenceData!$K$67),"")</f>
        <v>1531241.656</v>
      </c>
      <c r="L67">
        <f ca="1">IFERROR(IF(0=LEN(ReferenceData!$L$67),"",ReferenceData!$L$67),"")</f>
        <v>1596169.5389999999</v>
      </c>
      <c r="M67">
        <f ca="1">IFERROR(IF(0=LEN(ReferenceData!$M$67),"",ReferenceData!$M$67),"")</f>
        <v>1480738.4649999999</v>
      </c>
      <c r="N67">
        <f ca="1">IFERROR(IF(0=LEN(ReferenceData!$N$67),"",ReferenceData!$N$67),"")</f>
        <v>1297601.7460000003</v>
      </c>
      <c r="O67">
        <f ca="1">IFERROR(IF(0=LEN(ReferenceData!$O$67),"",ReferenceData!$O$67),"")</f>
        <v>1401247.682</v>
      </c>
      <c r="P67">
        <f ca="1">IFERROR(IF(0=LEN(ReferenceData!$P$67),"",ReferenceData!$P$67),"")</f>
        <v>1335899.8359999999</v>
      </c>
      <c r="Q67">
        <f ca="1">IFERROR(IF(0=LEN(ReferenceData!$Q$67),"",ReferenceData!$Q$67),"")</f>
        <v>1420137.4790000001</v>
      </c>
      <c r="R67">
        <f ca="1">IFERROR(IF(0=LEN(ReferenceData!$R$67),"",ReferenceData!$R$67),"")</f>
        <v>1219574.0430000001</v>
      </c>
      <c r="S67">
        <f ca="1">IFERROR(IF(0=LEN(ReferenceData!$S$67),"",ReferenceData!$S$67),"")</f>
        <v>1378307.9430000002</v>
      </c>
      <c r="T67">
        <f ca="1">IFERROR(IF(0=LEN(ReferenceData!$T$67),"",ReferenceData!$T$67),"")</f>
        <v>1397157.5209999999</v>
      </c>
      <c r="U67">
        <f ca="1">IFERROR(IF(0=LEN(ReferenceData!$U$67),"",ReferenceData!$U$67),"")</f>
        <v>1381682.6800000002</v>
      </c>
      <c r="V67">
        <f ca="1">IFERROR(IF(0=LEN(ReferenceData!$V$67),"",ReferenceData!$V$67),"")</f>
        <v>1288882.1310000001</v>
      </c>
      <c r="W67">
        <f ca="1">IFERROR(IF(0=LEN(ReferenceData!$W$67),"",ReferenceData!$W$67),"")</f>
        <v>1308362.3390000002</v>
      </c>
      <c r="X67">
        <f ca="1">IFERROR(IF(0=LEN(ReferenceData!$X$67),"",ReferenceData!$X$67),"")</f>
        <v>1315317.8220000002</v>
      </c>
      <c r="Y67">
        <f ca="1">IFERROR(IF(0=LEN(ReferenceData!$Y$67),"",ReferenceData!$Y$67),"")</f>
        <v>1330385.4000000001</v>
      </c>
      <c r="Z67">
        <f ca="1">IFERROR(IF(0=LEN(ReferenceData!$Z$67),"",ReferenceData!$Z$67),"")</f>
        <v>1108835.5989999999</v>
      </c>
      <c r="AA67">
        <f ca="1">IFERROR(IF(0=LEN(ReferenceData!$AA$67),"",ReferenceData!$AA$67),"")</f>
        <v>1254461.5950000002</v>
      </c>
      <c r="AB67">
        <f ca="1">IFERROR(IF(0=LEN(ReferenceData!$AB$67),"",ReferenceData!$AB$67),"")</f>
        <v>1257619.1300000001</v>
      </c>
      <c r="AC67">
        <f ca="1">IFERROR(IF(0=LEN(ReferenceData!$AC$67),"",ReferenceData!$AC$67),"")</f>
        <v>1225517.6719999998</v>
      </c>
      <c r="AD67">
        <f ca="1">IFERROR(IF(0=LEN(ReferenceData!$AD$67),"",ReferenceData!$AD$67),"")</f>
        <v>1047361.4619999999</v>
      </c>
      <c r="AE67">
        <f ca="1">IFERROR(IF(0=LEN(ReferenceData!$AE$67),"",ReferenceData!$AE$67),"")</f>
        <v>1069170.7139999999</v>
      </c>
      <c r="AF67">
        <f ca="1">IFERROR(IF(0=LEN(ReferenceData!$AF$67),"",ReferenceData!$AF$67),"")</f>
        <v>1052696.0259999998</v>
      </c>
      <c r="AG67">
        <f ca="1">IFERROR(IF(0=LEN(ReferenceData!$AG$67),"",ReferenceData!$AG$67),"")</f>
        <v>1047462.7159999999</v>
      </c>
      <c r="AH67">
        <f ca="1">IFERROR(IF(0=LEN(ReferenceData!$AH$67),"",ReferenceData!$AH$67),"")</f>
        <v>1010158.8879999999</v>
      </c>
      <c r="AI67">
        <f ca="1">IFERROR(IF(0=LEN(ReferenceData!$AI$67),"",ReferenceData!$AI$67),"")</f>
        <v>1058473.1349999998</v>
      </c>
      <c r="AJ67">
        <f ca="1">IFERROR(IF(0=LEN(ReferenceData!$AJ$67),"",ReferenceData!$AJ$67),"")</f>
        <v>1046877.7190000002</v>
      </c>
      <c r="AK67">
        <f ca="1">IFERROR(IF(0=LEN(ReferenceData!$AK$67),"",ReferenceData!$AK$67),"")</f>
        <v>1013849.8770000001</v>
      </c>
      <c r="AL67">
        <f ca="1">IFERROR(IF(0=LEN(ReferenceData!$AL$67),"",ReferenceData!$AL$67),"")</f>
        <v>956667.2159999999</v>
      </c>
      <c r="AM67">
        <f ca="1">IFERROR(IF(0=LEN(ReferenceData!$AM$67),"",ReferenceData!$AM$67),"")</f>
        <v>995230.78299999982</v>
      </c>
      <c r="AN67">
        <f ca="1">IFERROR(IF(0=LEN(ReferenceData!$AN$67),"",ReferenceData!$AN$67),"")</f>
        <v>995620.76400000008</v>
      </c>
      <c r="AO67">
        <f ca="1">IFERROR(IF(0=LEN(ReferenceData!$AO$67),"",ReferenceData!$AO$67),"")</f>
        <v>976395.09400000004</v>
      </c>
      <c r="AP67">
        <f ca="1">IFERROR(IF(0=LEN(ReferenceData!$AP$67),"",ReferenceData!$AP$67),"")</f>
        <v>924832.64500000014</v>
      </c>
      <c r="AQ67">
        <f ca="1">IFERROR(IF(0=LEN(ReferenceData!$AQ$67),"",ReferenceData!$AQ$67),"")</f>
        <v>977667.45</v>
      </c>
      <c r="AR67">
        <f ca="1">IFERROR(IF(0=LEN(ReferenceData!$AR$67),"",ReferenceData!$AR$67),"")</f>
        <v>1023398.775</v>
      </c>
      <c r="AS67">
        <f ca="1">IFERROR(IF(0=LEN(ReferenceData!$AS$67),"",ReferenceData!$AS$67),"")</f>
        <v>1075261.7729999998</v>
      </c>
      <c r="AT67">
        <f ca="1">IFERROR(IF(0=LEN(ReferenceData!$AT$67),"",ReferenceData!$AT$67),"")</f>
        <v>1065243.9330000002</v>
      </c>
      <c r="AU67">
        <f ca="1">IFERROR(IF(0=LEN(ReferenceData!$AU$67),"",ReferenceData!$AU$67),"")</f>
        <v>1055119.6369999999</v>
      </c>
      <c r="AV67">
        <f ca="1">IFERROR(IF(0=LEN(ReferenceData!$AV$67),"",ReferenceData!$AV$67),"")</f>
        <v>1048580.6070000001</v>
      </c>
      <c r="AW67">
        <f ca="1">IFERROR(IF(0=LEN(ReferenceData!$AW$67),"",ReferenceData!$AW$67),"")</f>
        <v>999355.8670000002</v>
      </c>
      <c r="AX67">
        <f ca="1">IFERROR(IF(0=LEN(ReferenceData!$AX$67),"",ReferenceData!$AX$67),"")</f>
        <v>1011678.3430000002</v>
      </c>
      <c r="AY67">
        <f ca="1">IFERROR(IF(0=LEN(ReferenceData!$AY$67),"",ReferenceData!$AY$67),"")</f>
        <v>1026061.5299999999</v>
      </c>
      <c r="AZ67">
        <f ca="1">IFERROR(IF(0=LEN(ReferenceData!$AZ$67),"",ReferenceData!$AZ$67),"")</f>
        <v>1060724.1809999996</v>
      </c>
      <c r="BA67">
        <f ca="1">IFERROR(IF(0=LEN(ReferenceData!$BA$67),"",ReferenceData!$BA$67),"")</f>
        <v>1127849.6340000001</v>
      </c>
      <c r="BB67">
        <f ca="1">IFERROR(IF(0=LEN(ReferenceData!$BB$67),"",ReferenceData!$BB$67),"")</f>
        <v>1124616.4930000002</v>
      </c>
      <c r="BC67">
        <f ca="1">IFERROR(IF(0=LEN(ReferenceData!$BC$67),"",ReferenceData!$BC$67),"")</f>
        <v>1098323.3859999999</v>
      </c>
      <c r="BD67">
        <f ca="1">IFERROR(IF(0=LEN(ReferenceData!$BD$67),"",ReferenceData!$BD$67),"")</f>
        <v>1060270.7409999997</v>
      </c>
      <c r="BE67">
        <f ca="1">IFERROR(IF(0=LEN(ReferenceData!$BE$67),"",ReferenceData!$BE$67),"")</f>
        <v>1109372.5269999998</v>
      </c>
      <c r="BF67">
        <f ca="1">IFERROR(IF(0=LEN(ReferenceData!$BF$67),"",ReferenceData!$BF$67),"")</f>
        <v>1057533.7769999998</v>
      </c>
      <c r="BG67">
        <f ca="1">IFERROR(IF(0=LEN(ReferenceData!$BG$67),"",ReferenceData!$BG$67),"")</f>
        <v>1114916.027</v>
      </c>
      <c r="BH67">
        <f ca="1">IFERROR(IF(0=LEN(ReferenceData!$BH$67),"",ReferenceData!$BH$67),"")</f>
        <v>1107624.8240000003</v>
      </c>
      <c r="BI67">
        <f ca="1">IFERROR(IF(0=LEN(ReferenceData!$BI$67),"",ReferenceData!$BI$67),"")</f>
        <v>1164983.8680000002</v>
      </c>
      <c r="BJ67">
        <f ca="1">IFERROR(IF(0=LEN(ReferenceData!$BJ$67),"",ReferenceData!$BJ$67),"")</f>
        <v>1137414.1869999999</v>
      </c>
      <c r="BK67">
        <f ca="1">IFERROR(IF(0=LEN(ReferenceData!$BK$67),"",ReferenceData!$BK$67),"")</f>
        <v>1174915.4730000002</v>
      </c>
      <c r="BL67">
        <f ca="1">IFERROR(IF(0=LEN(ReferenceData!$BL$67),"",ReferenceData!$BL$67),"")</f>
        <v>1045194.2820000001</v>
      </c>
      <c r="BM67">
        <f ca="1">IFERROR(IF(0=LEN(ReferenceData!$BM$67),"",ReferenceData!$BM$67),"")</f>
        <v>4329.08</v>
      </c>
    </row>
    <row r="68" spans="1:65" x14ac:dyDescent="0.25">
      <c r="A68" t="str">
        <f>IFERROR(IF(0=LEN(ReferenceData!$A$68),"",ReferenceData!$A$68),"")</f>
        <v xml:space="preserve">            Bank of America Corp</v>
      </c>
      <c r="B68" t="str">
        <f>IFERROR(IF(0=LEN(ReferenceData!$B$68),"",ReferenceData!$B$68),"")</f>
        <v>BAC US Equity</v>
      </c>
      <c r="C68" t="str">
        <f>IFERROR(IF(0=LEN(ReferenceData!$C$68),"",ReferenceData!$C$68),"")</f>
        <v>FC070</v>
      </c>
      <c r="D68" t="str">
        <f>IFERROR(IF(0=LEN(ReferenceData!$D$68),"",ReferenceData!$D$68),"")</f>
        <v>FDIC_TRADING_ACCT_ASSETS</v>
      </c>
      <c r="E68" t="str">
        <f>IFERROR(IF(0=LEN(ReferenceData!$E$68),"",ReferenceData!$E$68),"")</f>
        <v>Dynamic</v>
      </c>
      <c r="F68">
        <f ca="1">IFERROR(IF(0=LEN(ReferenceData!$F$68),"",ReferenceData!$F$68),"")</f>
        <v>367275</v>
      </c>
      <c r="G68">
        <f ca="1">IFERROR(IF(0=LEN(ReferenceData!$G$68),"",ReferenceData!$G$68),"")</f>
        <v>386057</v>
      </c>
      <c r="H68">
        <f ca="1">IFERROR(IF(0=LEN(ReferenceData!$H$68),"",ReferenceData!$H$68),"")</f>
        <v>351987</v>
      </c>
      <c r="I68">
        <f ca="1">IFERROR(IF(0=LEN(ReferenceData!$I$68),"",ReferenceData!$I$68),"")</f>
        <v>364440</v>
      </c>
      <c r="J68">
        <f ca="1">IFERROR(IF(0=LEN(ReferenceData!$J$68),"",ReferenceData!$J$68),"")</f>
        <v>326728</v>
      </c>
      <c r="K68">
        <f ca="1">IFERROR(IF(0=LEN(ReferenceData!$K$68),"",ReferenceData!$K$68),"")</f>
        <v>363628</v>
      </c>
      <c r="L68">
        <f ca="1">IFERROR(IF(0=LEN(ReferenceData!$L$68),"",ReferenceData!$L$68),"")</f>
        <v>367780</v>
      </c>
      <c r="M68">
        <f ca="1">IFERROR(IF(0=LEN(ReferenceData!$M$68),"",ReferenceData!$M$68),"")</f>
        <v>366006</v>
      </c>
      <c r="N68">
        <f ca="1">IFERROR(IF(0=LEN(ReferenceData!$N$68),"",ReferenceData!$N$68),"")</f>
        <v>353420</v>
      </c>
      <c r="O68">
        <f ca="1">IFERROR(IF(0=LEN(ReferenceData!$O$68),"",ReferenceData!$O$68),"")</f>
        <v>374876</v>
      </c>
      <c r="P68">
        <f ca="1">IFERROR(IF(0=LEN(ReferenceData!$P$68),"",ReferenceData!$P$68),"")</f>
        <v>363345</v>
      </c>
      <c r="Q68">
        <f ca="1">IFERROR(IF(0=LEN(ReferenceData!$Q$68),"",ReferenceData!$Q$68),"")</f>
        <v>369593</v>
      </c>
      <c r="R68">
        <f ca="1">IFERROR(IF(0=LEN(ReferenceData!$R$68),"",ReferenceData!$R$68),"")</f>
        <v>290087</v>
      </c>
      <c r="S68">
        <f ca="1">IFERROR(IF(0=LEN(ReferenceData!$S$68),"",ReferenceData!$S$68),"")</f>
        <v>337848</v>
      </c>
      <c r="T68">
        <f ca="1">IFERROR(IF(0=LEN(ReferenceData!$T$68),"",ReferenceData!$T$68),"")</f>
        <v>341348</v>
      </c>
      <c r="U68">
        <f ca="1">IFERROR(IF(0=LEN(ReferenceData!$U$68),"",ReferenceData!$U$68),"")</f>
        <v>331848</v>
      </c>
      <c r="V68">
        <f ca="1">IFERROR(IF(0=LEN(ReferenceData!$V$68),"",ReferenceData!$V$68),"")</f>
        <v>256866</v>
      </c>
      <c r="W68">
        <f ca="1">IFERROR(IF(0=LEN(ReferenceData!$W$68),"",ReferenceData!$W$68),"")</f>
        <v>310150</v>
      </c>
      <c r="X68">
        <f ca="1">IFERROR(IF(0=LEN(ReferenceData!$X$68),"",ReferenceData!$X$68),"")</f>
        <v>283751</v>
      </c>
      <c r="Y68">
        <f ca="1">IFERROR(IF(0=LEN(ReferenceData!$Y$68),"",ReferenceData!$Y$68),"")</f>
        <v>262239</v>
      </c>
      <c r="Z68">
        <f ca="1">IFERROR(IF(0=LEN(ReferenceData!$Z$68),"",ReferenceData!$Z$68),"")</f>
        <v>277292</v>
      </c>
      <c r="AA68">
        <f ca="1">IFERROR(IF(0=LEN(ReferenceData!$AA$68),"",ReferenceData!$AA$68),"")</f>
        <v>314659</v>
      </c>
      <c r="AB68">
        <f ca="1">IFERROR(IF(0=LEN(ReferenceData!$AB$68),"",ReferenceData!$AB$68),"")</f>
        <v>304461</v>
      </c>
      <c r="AC68">
        <f ca="1">IFERROR(IF(0=LEN(ReferenceData!$AC$68),"",ReferenceData!$AC$68),"")</f>
        <v>290022</v>
      </c>
      <c r="AD68">
        <f ca="1">IFERROR(IF(0=LEN(ReferenceData!$AD$68),"",ReferenceData!$AD$68),"")</f>
        <v>265770</v>
      </c>
      <c r="AE68">
        <f ca="1">IFERROR(IF(0=LEN(ReferenceData!$AE$68),"",ReferenceData!$AE$68),"")</f>
        <v>276220</v>
      </c>
      <c r="AF68">
        <f ca="1">IFERROR(IF(0=LEN(ReferenceData!$AF$68),"",ReferenceData!$AF$68),"")</f>
        <v>260471</v>
      </c>
      <c r="AG68">
        <f ca="1">IFERROR(IF(0=LEN(ReferenceData!$AG$68),"",ReferenceData!$AG$68),"")</f>
        <v>258614</v>
      </c>
      <c r="AH68">
        <f ca="1">IFERROR(IF(0=LEN(ReferenceData!$AH$68),"",ReferenceData!$AH$68),"")</f>
        <v>258907</v>
      </c>
      <c r="AI68">
        <f ca="1">IFERROR(IF(0=LEN(ReferenceData!$AI$68),"",ReferenceData!$AI$68),"")</f>
        <v>265071</v>
      </c>
      <c r="AJ68">
        <f ca="1">IFERROR(IF(0=LEN(ReferenceData!$AJ$68),"",ReferenceData!$AJ$68),"")</f>
        <v>270253</v>
      </c>
      <c r="AK68">
        <f ca="1">IFERROR(IF(0=LEN(ReferenceData!$AK$68),"",ReferenceData!$AK$68),"")</f>
        <v>261329</v>
      </c>
      <c r="AL68">
        <f ca="1">IFERROR(IF(0=LEN(ReferenceData!$AL$68),"",ReferenceData!$AL$68),"")</f>
        <v>241052</v>
      </c>
      <c r="AM68">
        <f ca="1">IFERROR(IF(0=LEN(ReferenceData!$AM$68),"",ReferenceData!$AM$68),"")</f>
        <v>254908</v>
      </c>
      <c r="AN68">
        <f ca="1">IFERROR(IF(0=LEN(ReferenceData!$AN$68),"",ReferenceData!$AN$68),"")</f>
        <v>247635</v>
      </c>
      <c r="AO68">
        <f ca="1">IFERROR(IF(0=LEN(ReferenceData!$AO$68),"",ReferenceData!$AO$68),"")</f>
        <v>248748</v>
      </c>
      <c r="AP68">
        <f ca="1">IFERROR(IF(0=LEN(ReferenceData!$AP$68),"",ReferenceData!$AP$68),"")</f>
        <v>241957</v>
      </c>
      <c r="AQ68">
        <f ca="1">IFERROR(IF(0=LEN(ReferenceData!$AQ$68),"",ReferenceData!$AQ$68),"")</f>
        <v>261550</v>
      </c>
      <c r="AR68">
        <f ca="1">IFERROR(IF(0=LEN(ReferenceData!$AR$68),"",ReferenceData!$AR$68),"")</f>
        <v>275438</v>
      </c>
      <c r="AS68">
        <f ca="1">IFERROR(IF(0=LEN(ReferenceData!$AS$68),"",ReferenceData!$AS$68),"")</f>
        <v>279810</v>
      </c>
      <c r="AT68">
        <f ca="1">IFERROR(IF(0=LEN(ReferenceData!$AT$68),"",ReferenceData!$AT$68),"")</f>
        <v>278851</v>
      </c>
      <c r="AU68">
        <f ca="1">IFERROR(IF(0=LEN(ReferenceData!$AU$68),"",ReferenceData!$AU$68),"")</f>
        <v>274243</v>
      </c>
      <c r="AV68">
        <f ca="1">IFERROR(IF(0=LEN(ReferenceData!$AV$68),"",ReferenceData!$AV$68),"")</f>
        <v>282383</v>
      </c>
      <c r="AW68">
        <f ca="1">IFERROR(IF(0=LEN(ReferenceData!$AW$68),"",ReferenceData!$AW$68),"")</f>
        <v>271136</v>
      </c>
      <c r="AX68">
        <f ca="1">IFERROR(IF(0=LEN(ReferenceData!$AX$68),"",ReferenceData!$AX$68),"")</f>
        <v>276875</v>
      </c>
      <c r="AY68">
        <f ca="1">IFERROR(IF(0=LEN(ReferenceData!$AY$68),"",ReferenceData!$AY$68),"")</f>
        <v>280121</v>
      </c>
      <c r="AZ68">
        <f ca="1">IFERROR(IF(0=LEN(ReferenceData!$AZ$68),"",ReferenceData!$AZ$68),"")</f>
        <v>283242</v>
      </c>
      <c r="BA68">
        <f ca="1">IFERROR(IF(0=LEN(ReferenceData!$BA$68),"",ReferenceData!$BA$68),"")</f>
        <v>314171</v>
      </c>
      <c r="BB68">
        <f ca="1">IFERROR(IF(0=LEN(ReferenceData!$BB$68),"",ReferenceData!$BB$68),"")</f>
        <v>284875.95699999999</v>
      </c>
      <c r="BC68">
        <f ca="1">IFERROR(IF(0=LEN(ReferenceData!$BC$68),"",ReferenceData!$BC$68),"")</f>
        <v>264044.83600000001</v>
      </c>
      <c r="BD68">
        <f ca="1">IFERROR(IF(0=LEN(ReferenceData!$BD$68),"",ReferenceData!$BD$68),"")</f>
        <v>258431.951</v>
      </c>
      <c r="BE68">
        <f ca="1">IFERROR(IF(0=LEN(ReferenceData!$BE$68),"",ReferenceData!$BE$68),"")</f>
        <v>259199.71799999999</v>
      </c>
      <c r="BF68">
        <f ca="1">IFERROR(IF(0=LEN(ReferenceData!$BF$68),"",ReferenceData!$BF$68),"")</f>
        <v>232609.60699999999</v>
      </c>
      <c r="BG68">
        <f ca="1">IFERROR(IF(0=LEN(ReferenceData!$BG$68),"",ReferenceData!$BG$68),"")</f>
        <v>243781.85500000001</v>
      </c>
      <c r="BH68">
        <f ca="1">IFERROR(IF(0=LEN(ReferenceData!$BH$68),"",ReferenceData!$BH$68),"")</f>
        <v>253123.179</v>
      </c>
      <c r="BI68">
        <f ca="1">IFERROR(IF(0=LEN(ReferenceData!$BI$68),"",ReferenceData!$BI$68),"")</f>
        <v>263871.27100000001</v>
      </c>
      <c r="BJ68">
        <f ca="1">IFERROR(IF(0=LEN(ReferenceData!$BJ$68),"",ReferenceData!$BJ$68),"")</f>
        <v>257688.81599999999</v>
      </c>
      <c r="BK68">
        <f ca="1">IFERROR(IF(0=LEN(ReferenceData!$BK$68),"",ReferenceData!$BK$68),"")</f>
        <v>285809.27799999999</v>
      </c>
      <c r="BL68">
        <f ca="1">IFERROR(IF(0=LEN(ReferenceData!$BL$68),"",ReferenceData!$BL$68),"")</f>
        <v>277100.011</v>
      </c>
      <c r="BM68" t="str">
        <f ca="1">IFERROR(IF(0=LEN(ReferenceData!$BM$68),"",ReferenceData!$BM$68),"")</f>
        <v/>
      </c>
    </row>
    <row r="69" spans="1:65" x14ac:dyDescent="0.25">
      <c r="A69" t="str">
        <f>IFERROR(IF(0=LEN(ReferenceData!$A$69),"",ReferenceData!$A$69),"")</f>
        <v xml:space="preserve">            Citigroup Inc</v>
      </c>
      <c r="B69" t="str">
        <f>IFERROR(IF(0=LEN(ReferenceData!$B$69),"",ReferenceData!$B$69),"")</f>
        <v>C US Equity</v>
      </c>
      <c r="C69" t="str">
        <f>IFERROR(IF(0=LEN(ReferenceData!$C$69),"",ReferenceData!$C$69),"")</f>
        <v>FC070</v>
      </c>
      <c r="D69" t="str">
        <f>IFERROR(IF(0=LEN(ReferenceData!$D$69),"",ReferenceData!$D$69),"")</f>
        <v>FDIC_TRADING_ACCT_ASSETS</v>
      </c>
      <c r="E69" t="str">
        <f>IFERROR(IF(0=LEN(ReferenceData!$E$69),"",ReferenceData!$E$69),"")</f>
        <v>Dynamic</v>
      </c>
      <c r="F69">
        <f ca="1">IFERROR(IF(0=LEN(ReferenceData!$F$69),"",ReferenceData!$F$69),"")</f>
        <v>439883</v>
      </c>
      <c r="G69">
        <f ca="1">IFERROR(IF(0=LEN(ReferenceData!$G$69),"",ReferenceData!$G$69),"")</f>
        <v>456577</v>
      </c>
      <c r="H69">
        <f ca="1">IFERROR(IF(0=LEN(ReferenceData!$H$69),"",ReferenceData!$H$69),"")</f>
        <v>444697</v>
      </c>
      <c r="I69">
        <f ca="1">IFERROR(IF(0=LEN(ReferenceData!$I$69),"",ReferenceData!$I$69),"")</f>
        <v>429910</v>
      </c>
      <c r="J69">
        <f ca="1">IFERROR(IF(0=LEN(ReferenceData!$J$69),"",ReferenceData!$J$69),"")</f>
        <v>410525</v>
      </c>
      <c r="K69">
        <f ca="1">IFERROR(IF(0=LEN(ReferenceData!$K$69),"",ReferenceData!$K$69),"")</f>
        <v>404461</v>
      </c>
      <c r="L69">
        <f ca="1">IFERROR(IF(0=LEN(ReferenceData!$L$69),"",ReferenceData!$L$69),"")</f>
        <v>421702</v>
      </c>
      <c r="M69">
        <f ca="1">IFERROR(IF(0=LEN(ReferenceData!$M$69),"",ReferenceData!$M$69),"")</f>
        <v>382497</v>
      </c>
      <c r="N69">
        <f ca="1">IFERROR(IF(0=LEN(ReferenceData!$N$69),"",ReferenceData!$N$69),"")</f>
        <v>331209</v>
      </c>
      <c r="O69">
        <f ca="1">IFERROR(IF(0=LEN(ReferenceData!$O$69),"",ReferenceData!$O$69),"")</f>
        <v>352418</v>
      </c>
      <c r="P69">
        <f ca="1">IFERROR(IF(0=LEN(ReferenceData!$P$69),"",ReferenceData!$P$69),"")</f>
        <v>336397</v>
      </c>
      <c r="Q69">
        <f ca="1">IFERROR(IF(0=LEN(ReferenceData!$Q$69),"",ReferenceData!$Q$69),"")</f>
        <v>354132</v>
      </c>
      <c r="R69">
        <f ca="1">IFERROR(IF(0=LEN(ReferenceData!$R$69),"",ReferenceData!$R$69),"")</f>
        <v>329257</v>
      </c>
      <c r="S69">
        <f ca="1">IFERROR(IF(0=LEN(ReferenceData!$S$69),"",ReferenceData!$S$69),"")</f>
        <v>340462</v>
      </c>
      <c r="T69">
        <f ca="1">IFERROR(IF(0=LEN(ReferenceData!$T$69),"",ReferenceData!$T$69),"")</f>
        <v>368730</v>
      </c>
      <c r="U69">
        <f ca="1">IFERROR(IF(0=LEN(ReferenceData!$U$69),"",ReferenceData!$U$69),"")</f>
        <v>357771</v>
      </c>
      <c r="V69">
        <f ca="1">IFERROR(IF(0=LEN(ReferenceData!$V$69),"",ReferenceData!$V$69),"")</f>
        <v>371872</v>
      </c>
      <c r="W69">
        <f ca="1">IFERROR(IF(0=LEN(ReferenceData!$W$69),"",ReferenceData!$W$69),"")</f>
        <v>345971</v>
      </c>
      <c r="X69">
        <f ca="1">IFERROR(IF(0=LEN(ReferenceData!$X$69),"",ReferenceData!$X$69),"")</f>
        <v>359301</v>
      </c>
      <c r="Y69">
        <f ca="1">IFERROR(IF(0=LEN(ReferenceData!$Y$69),"",ReferenceData!$Y$69),"")</f>
        <v>360831</v>
      </c>
      <c r="Z69">
        <f ca="1">IFERROR(IF(0=LEN(ReferenceData!$Z$69),"",ReferenceData!$Z$69),"")</f>
        <v>274638</v>
      </c>
      <c r="AA69">
        <f ca="1">IFERROR(IF(0=LEN(ReferenceData!$AA$69),"",ReferenceData!$AA$69),"")</f>
        <v>305078</v>
      </c>
      <c r="AB69">
        <f ca="1">IFERROR(IF(0=LEN(ReferenceData!$AB$69),"",ReferenceData!$AB$69),"")</f>
        <v>305612</v>
      </c>
      <c r="AC69">
        <f ca="1">IFERROR(IF(0=LEN(ReferenceData!$AC$69),"",ReferenceData!$AC$69),"")</f>
        <v>285372</v>
      </c>
      <c r="AD69">
        <f ca="1">IFERROR(IF(0=LEN(ReferenceData!$AD$69),"",ReferenceData!$AD$69),"")</f>
        <v>254760</v>
      </c>
      <c r="AE69">
        <f ca="1">IFERROR(IF(0=LEN(ReferenceData!$AE$69),"",ReferenceData!$AE$69),"")</f>
        <v>256065</v>
      </c>
      <c r="AF69">
        <f ca="1">IFERROR(IF(0=LEN(ReferenceData!$AF$69),"",ReferenceData!$AF$69),"")</f>
        <v>261232</v>
      </c>
      <c r="AG69">
        <f ca="1">IFERROR(IF(0=LEN(ReferenceData!$AG$69),"",ReferenceData!$AG$69),"")</f>
        <v>267678</v>
      </c>
      <c r="AH69">
        <f ca="1">IFERROR(IF(0=LEN(ReferenceData!$AH$69),"",ReferenceData!$AH$69),"")</f>
        <v>251554</v>
      </c>
      <c r="AI69">
        <f ca="1">IFERROR(IF(0=LEN(ReferenceData!$AI$69),"",ReferenceData!$AI$69),"")</f>
        <v>258905</v>
      </c>
      <c r="AJ69">
        <f ca="1">IFERROR(IF(0=LEN(ReferenceData!$AJ$69),"",ReferenceData!$AJ$69),"")</f>
        <v>259606</v>
      </c>
      <c r="AK69">
        <f ca="1">IFERROR(IF(0=LEN(ReferenceData!$AK$69),"",ReferenceData!$AK$69),"")</f>
        <v>244903</v>
      </c>
      <c r="AL69">
        <f ca="1">IFERROR(IF(0=LEN(ReferenceData!$AL$69),"",ReferenceData!$AL$69),"")</f>
        <v>243925</v>
      </c>
      <c r="AM69">
        <f ca="1">IFERROR(IF(0=LEN(ReferenceData!$AM$69),"",ReferenceData!$AM$69),"")</f>
        <v>263352</v>
      </c>
      <c r="AN69">
        <f ca="1">IFERROR(IF(0=LEN(ReferenceData!$AN$69),"",ReferenceData!$AN$69),"")</f>
        <v>271764</v>
      </c>
      <c r="AO69">
        <f ca="1">IFERROR(IF(0=LEN(ReferenceData!$AO$69),"",ReferenceData!$AO$69),"")</f>
        <v>273747</v>
      </c>
      <c r="AP69">
        <f ca="1">IFERROR(IF(0=LEN(ReferenceData!$AP$69),"",ReferenceData!$AP$69),"")</f>
        <v>249956</v>
      </c>
      <c r="AQ69">
        <f ca="1">IFERROR(IF(0=LEN(ReferenceData!$AQ$69),"",ReferenceData!$AQ$69),"")</f>
        <v>266946</v>
      </c>
      <c r="AR69">
        <f ca="1">IFERROR(IF(0=LEN(ReferenceData!$AR$69),"",ReferenceData!$AR$69),"")</f>
        <v>279196</v>
      </c>
      <c r="AS69">
        <f ca="1">IFERROR(IF(0=LEN(ReferenceData!$AS$69),"",ReferenceData!$AS$69),"")</f>
        <v>302983</v>
      </c>
      <c r="AT69">
        <f ca="1">IFERROR(IF(0=LEN(ReferenceData!$AT$69),"",ReferenceData!$AT$69),"")</f>
        <v>296786</v>
      </c>
      <c r="AU69">
        <f ca="1">IFERROR(IF(0=LEN(ReferenceData!$AU$69),"",ReferenceData!$AU$69),"")</f>
        <v>290822</v>
      </c>
      <c r="AV69">
        <f ca="1">IFERROR(IF(0=LEN(ReferenceData!$AV$69),"",ReferenceData!$AV$69),"")</f>
        <v>290776</v>
      </c>
      <c r="AW69">
        <f ca="1">IFERROR(IF(0=LEN(ReferenceData!$AW$69),"",ReferenceData!$AW$69),"")</f>
        <v>278180</v>
      </c>
      <c r="AX69">
        <f ca="1">IFERROR(IF(0=LEN(ReferenceData!$AX$69),"",ReferenceData!$AX$69),"")</f>
        <v>285928</v>
      </c>
      <c r="AY69">
        <f ca="1">IFERROR(IF(0=LEN(ReferenceData!$AY$69),"",ReferenceData!$AY$69),"")</f>
        <v>291722</v>
      </c>
      <c r="AZ69">
        <f ca="1">IFERROR(IF(0=LEN(ReferenceData!$AZ$69),"",ReferenceData!$AZ$69),"")</f>
        <v>306570</v>
      </c>
      <c r="BA69">
        <f ca="1">IFERROR(IF(0=LEN(ReferenceData!$BA$69),"",ReferenceData!$BA$69),"")</f>
        <v>308321</v>
      </c>
      <c r="BB69">
        <f ca="1">IFERROR(IF(0=LEN(ReferenceData!$BB$69),"",ReferenceData!$BB$69),"")</f>
        <v>320929</v>
      </c>
      <c r="BC69">
        <f ca="1">IFERROR(IF(0=LEN(ReferenceData!$BC$69),"",ReferenceData!$BC$69),"")</f>
        <v>315201</v>
      </c>
      <c r="BD69">
        <f ca="1">IFERROR(IF(0=LEN(ReferenceData!$BD$69),"",ReferenceData!$BD$69),"")</f>
        <v>310246</v>
      </c>
      <c r="BE69">
        <f ca="1">IFERROR(IF(0=LEN(ReferenceData!$BE$69),"",ReferenceData!$BE$69),"")</f>
        <v>307050</v>
      </c>
      <c r="BF69">
        <f ca="1">IFERROR(IF(0=LEN(ReferenceData!$BF$69),"",ReferenceData!$BF$69),"")</f>
        <v>291734</v>
      </c>
      <c r="BG69">
        <f ca="1">IFERROR(IF(0=LEN(ReferenceData!$BG$69),"",ReferenceData!$BG$69),"")</f>
        <v>338063</v>
      </c>
      <c r="BH69">
        <f ca="1">IFERROR(IF(0=LEN(ReferenceData!$BH$69),"",ReferenceData!$BH$69),"")</f>
        <v>329011</v>
      </c>
      <c r="BI69">
        <f ca="1">IFERROR(IF(0=LEN(ReferenceData!$BI$69),"",ReferenceData!$BI$69),"")</f>
        <v>329368</v>
      </c>
      <c r="BJ69">
        <f ca="1">IFERROR(IF(0=LEN(ReferenceData!$BJ$69),"",ReferenceData!$BJ$69),"")</f>
        <v>324797</v>
      </c>
      <c r="BK69">
        <f ca="1">IFERROR(IF(0=LEN(ReferenceData!$BK$69),"",ReferenceData!$BK$69),"")</f>
        <v>349015</v>
      </c>
      <c r="BL69">
        <f ca="1">IFERROR(IF(0=LEN(ReferenceData!$BL$69),"",ReferenceData!$BL$69),"")</f>
        <v>309441</v>
      </c>
      <c r="BM69" t="str">
        <f ca="1">IFERROR(IF(0=LEN(ReferenceData!$BM$69),"",ReferenceData!$BM$69),"")</f>
        <v/>
      </c>
    </row>
    <row r="70" spans="1:65" x14ac:dyDescent="0.25">
      <c r="A70" t="str">
        <f>IFERROR(IF(0=LEN(ReferenceData!$A$70),"",ReferenceData!$A$70),"")</f>
        <v xml:space="preserve">            Citizens Financial Group Inc</v>
      </c>
      <c r="B70" t="str">
        <f>IFERROR(IF(0=LEN(ReferenceData!$B$70),"",ReferenceData!$B$70),"")</f>
        <v>CFG US Equity</v>
      </c>
      <c r="C70" t="str">
        <f>IFERROR(IF(0=LEN(ReferenceData!$C$70),"",ReferenceData!$C$70),"")</f>
        <v>FC070</v>
      </c>
      <c r="D70" t="str">
        <f>IFERROR(IF(0=LEN(ReferenceData!$D$70),"",ReferenceData!$D$70),"")</f>
        <v>FDIC_TRADING_ACCT_ASSETS</v>
      </c>
      <c r="E70" t="str">
        <f>IFERROR(IF(0=LEN(ReferenceData!$E$70),"",ReferenceData!$E$70),"")</f>
        <v>Dynamic</v>
      </c>
      <c r="F70">
        <f ca="1">IFERROR(IF(0=LEN(ReferenceData!$F$70),"",ReferenceData!$F$70),"")</f>
        <v>630.67200000000003</v>
      </c>
      <c r="G70">
        <f ca="1">IFERROR(IF(0=LEN(ReferenceData!$G$70),"",ReferenceData!$G$70),"")</f>
        <v>654.52599999999995</v>
      </c>
      <c r="H70">
        <f ca="1">IFERROR(IF(0=LEN(ReferenceData!$H$70),"",ReferenceData!$H$70),"")</f>
        <v>463.62700000000001</v>
      </c>
      <c r="I70">
        <f ca="1">IFERROR(IF(0=LEN(ReferenceData!$I$70),"",ReferenceData!$I$70),"")</f>
        <v>431.56299999999999</v>
      </c>
      <c r="J70">
        <f ca="1">IFERROR(IF(0=LEN(ReferenceData!$J$70),"",ReferenceData!$J$70),"")</f>
        <v>558.78399999999999</v>
      </c>
      <c r="K70">
        <f ca="1">IFERROR(IF(0=LEN(ReferenceData!$K$70),"",ReferenceData!$K$70),"")</f>
        <v>598.59199999999998</v>
      </c>
      <c r="L70">
        <f ca="1">IFERROR(IF(0=LEN(ReferenceData!$L$70),"",ReferenceData!$L$70),"")</f>
        <v>828.78399999999999</v>
      </c>
      <c r="M70">
        <f ca="1">IFERROR(IF(0=LEN(ReferenceData!$M$70),"",ReferenceData!$M$70),"")</f>
        <v>636.20000000000005</v>
      </c>
      <c r="N70">
        <f ca="1">IFERROR(IF(0=LEN(ReferenceData!$N$70),"",ReferenceData!$N$70),"")</f>
        <v>1008.9349999999999</v>
      </c>
      <c r="O70">
        <f ca="1">IFERROR(IF(0=LEN(ReferenceData!$O$70),"",ReferenceData!$O$70),"")</f>
        <v>1529.7650000000001</v>
      </c>
      <c r="P70">
        <f ca="1">IFERROR(IF(0=LEN(ReferenceData!$P$70),"",ReferenceData!$P$70),"")</f>
        <v>1658.1389999999999</v>
      </c>
      <c r="Q70">
        <f ca="1">IFERROR(IF(0=LEN(ReferenceData!$Q$70),"",ReferenceData!$Q$70),"")</f>
        <v>1925.204</v>
      </c>
      <c r="R70">
        <f ca="1">IFERROR(IF(0=LEN(ReferenceData!$R$70),"",ReferenceData!$R$70),"")</f>
        <v>1409.105</v>
      </c>
      <c r="S70">
        <f ca="1">IFERROR(IF(0=LEN(ReferenceData!$S$70),"",ReferenceData!$S$70),"")</f>
        <v>1902.615</v>
      </c>
      <c r="T70">
        <f ca="1">IFERROR(IF(0=LEN(ReferenceData!$T$70),"",ReferenceData!$T$70),"")</f>
        <v>1844.222</v>
      </c>
      <c r="U70">
        <f ca="1">IFERROR(IF(0=LEN(ReferenceData!$U$70),"",ReferenceData!$U$70),"")</f>
        <v>1500.1420000000001</v>
      </c>
      <c r="V70">
        <f ca="1">IFERROR(IF(0=LEN(ReferenceData!$V$70),"",ReferenceData!$V$70),"")</f>
        <v>1983.847</v>
      </c>
      <c r="W70">
        <f ca="1">IFERROR(IF(0=LEN(ReferenceData!$W$70),"",ReferenceData!$W$70),"")</f>
        <v>2126.527</v>
      </c>
      <c r="X70">
        <f ca="1">IFERROR(IF(0=LEN(ReferenceData!$X$70),"",ReferenceData!$X$70),"")</f>
        <v>2278.3879999999999</v>
      </c>
      <c r="Y70">
        <f ca="1">IFERROR(IF(0=LEN(ReferenceData!$Y$70),"",ReferenceData!$Y$70),"")</f>
        <v>2078.8130000000001</v>
      </c>
      <c r="Z70">
        <f ca="1">IFERROR(IF(0=LEN(ReferenceData!$Z$70),"",ReferenceData!$Z$70),"")</f>
        <v>969.79200000000003</v>
      </c>
      <c r="AA70">
        <f ca="1">IFERROR(IF(0=LEN(ReferenceData!$AA$70),"",ReferenceData!$AA$70),"")</f>
        <v>1170.1990000000001</v>
      </c>
      <c r="AB70">
        <f ca="1">IFERROR(IF(0=LEN(ReferenceData!$AB$70),"",ReferenceData!$AB$70),"")</f>
        <v>941.08100000000002</v>
      </c>
      <c r="AC70">
        <f ca="1">IFERROR(IF(0=LEN(ReferenceData!$AC$70),"",ReferenceData!$AC$70),"")</f>
        <v>626.99800000000005</v>
      </c>
      <c r="AD70">
        <f ca="1">IFERROR(IF(0=LEN(ReferenceData!$AD$70),"",ReferenceData!$AD$70),"")</f>
        <v>544.75199999999995</v>
      </c>
      <c r="AE70">
        <f ca="1">IFERROR(IF(0=LEN(ReferenceData!$AE$70),"",ReferenceData!$AE$70),"")</f>
        <v>310.84199999999998</v>
      </c>
      <c r="AF70">
        <f ca="1">IFERROR(IF(0=LEN(ReferenceData!$AF$70),"",ReferenceData!$AF$70),"")</f>
        <v>373.13299999999998</v>
      </c>
      <c r="AG70">
        <f ca="1">IFERROR(IF(0=LEN(ReferenceData!$AG$70),"",ReferenceData!$AG$70),"")</f>
        <v>455.18599999999998</v>
      </c>
      <c r="AH70">
        <f ca="1">IFERROR(IF(0=LEN(ReferenceData!$AH$70),"",ReferenceData!$AH$70),"")</f>
        <v>781.58399999999995</v>
      </c>
      <c r="AI70">
        <f ca="1">IFERROR(IF(0=LEN(ReferenceData!$AI$70),"",ReferenceData!$AI$70),"")</f>
        <v>732.803</v>
      </c>
      <c r="AJ70">
        <f ca="1">IFERROR(IF(0=LEN(ReferenceData!$AJ$70),"",ReferenceData!$AJ$70),"")</f>
        <v>529.94200000000001</v>
      </c>
      <c r="AK70">
        <f ca="1">IFERROR(IF(0=LEN(ReferenceData!$AK$70),"",ReferenceData!$AK$70),"")</f>
        <v>428.13099999999997</v>
      </c>
      <c r="AL70">
        <f ca="1">IFERROR(IF(0=LEN(ReferenceData!$AL$70),"",ReferenceData!$AL$70),"")</f>
        <v>641.02200000000005</v>
      </c>
      <c r="AM70">
        <f ca="1">IFERROR(IF(0=LEN(ReferenceData!$AM$70),"",ReferenceData!$AM$70),"")</f>
        <v>814.08900000000006</v>
      </c>
      <c r="AN70">
        <f ca="1">IFERROR(IF(0=LEN(ReferenceData!$AN$70),"",ReferenceData!$AN$70),"")</f>
        <v>937.86400000000003</v>
      </c>
      <c r="AO70">
        <f ca="1">IFERROR(IF(0=LEN(ReferenceData!$AO$70),"",ReferenceData!$AO$70),"")</f>
        <v>850.82899999999995</v>
      </c>
      <c r="AP70">
        <f ca="1">IFERROR(IF(0=LEN(ReferenceData!$AP$70),"",ReferenceData!$AP$70),"")</f>
        <v>607.36699999999996</v>
      </c>
      <c r="AQ70">
        <f ca="1">IFERROR(IF(0=LEN(ReferenceData!$AQ$70),"",ReferenceData!$AQ$70),"")</f>
        <v>791.81700000000001</v>
      </c>
      <c r="AR70">
        <f ca="1">IFERROR(IF(0=LEN(ReferenceData!$AR$70),"",ReferenceData!$AR$70),"")</f>
        <v>660.91399999999999</v>
      </c>
      <c r="AS70">
        <f ca="1">IFERROR(IF(0=LEN(ReferenceData!$AS$70),"",ReferenceData!$AS$70),"")</f>
        <v>773.94299999999998</v>
      </c>
      <c r="AT70">
        <f ca="1">IFERROR(IF(0=LEN(ReferenceData!$AT$70),"",ReferenceData!$AT$70),"")</f>
        <v>663.95899999999995</v>
      </c>
      <c r="AU70">
        <f ca="1">IFERROR(IF(0=LEN(ReferenceData!$AU$70),"",ReferenceData!$AU$70),"")</f>
        <v>557.72199999999998</v>
      </c>
      <c r="AV70">
        <f ca="1">IFERROR(IF(0=LEN(ReferenceData!$AV$70),"",ReferenceData!$AV$70),"")</f>
        <v>627.36800000000005</v>
      </c>
      <c r="AW70">
        <f ca="1">IFERROR(IF(0=LEN(ReferenceData!$AW$70),"",ReferenceData!$AW$70),"")</f>
        <v>620.85900000000004</v>
      </c>
      <c r="AX70">
        <f ca="1">IFERROR(IF(0=LEN(ReferenceData!$AX$70),"",ReferenceData!$AX$70),"")</f>
        <v>643.03499999999997</v>
      </c>
      <c r="AY70">
        <f ca="1">IFERROR(IF(0=LEN(ReferenceData!$AY$70),"",ReferenceData!$AY$70),"")</f>
        <v>731.19299999999998</v>
      </c>
      <c r="AZ70">
        <f ca="1">IFERROR(IF(0=LEN(ReferenceData!$AZ$70),"",ReferenceData!$AZ$70),"")</f>
        <v>759.94299999999998</v>
      </c>
      <c r="BA70">
        <f ca="1">IFERROR(IF(0=LEN(ReferenceData!$BA$70),"",ReferenceData!$BA$70),"")</f>
        <v>997.90800000000002</v>
      </c>
      <c r="BB70">
        <f ca="1">IFERROR(IF(0=LEN(ReferenceData!$BB$70),"",ReferenceData!$BB$70),"")</f>
        <v>1120.0329999999999</v>
      </c>
      <c r="BC70">
        <f ca="1">IFERROR(IF(0=LEN(ReferenceData!$BC$70),"",ReferenceData!$BC$70),"")</f>
        <v>1219.9570000000001</v>
      </c>
      <c r="BD70">
        <f ca="1">IFERROR(IF(0=LEN(ReferenceData!$BD$70),"",ReferenceData!$BD$70),"")</f>
        <v>1234.3689999999999</v>
      </c>
      <c r="BE70">
        <f ca="1">IFERROR(IF(0=LEN(ReferenceData!$BE$70),"",ReferenceData!$BE$70),"")</f>
        <v>1160.173</v>
      </c>
      <c r="BF70">
        <f ca="1">IFERROR(IF(0=LEN(ReferenceData!$BF$70),"",ReferenceData!$BF$70),"")</f>
        <v>1260.1590000000001</v>
      </c>
      <c r="BG70">
        <f ca="1">IFERROR(IF(0=LEN(ReferenceData!$BG$70),"",ReferenceData!$BG$70),"")</f>
        <v>1300.7639999999999</v>
      </c>
      <c r="BH70">
        <f ca="1">IFERROR(IF(0=LEN(ReferenceData!$BH$70),"",ReferenceData!$BH$70),"")</f>
        <v>1026.951</v>
      </c>
      <c r="BI70">
        <f ca="1">IFERROR(IF(0=LEN(ReferenceData!$BI$70),"",ReferenceData!$BI$70),"")</f>
        <v>947.00800000000004</v>
      </c>
      <c r="BJ70">
        <f ca="1">IFERROR(IF(0=LEN(ReferenceData!$BJ$70),"",ReferenceData!$BJ$70),"")</f>
        <v>1069.115</v>
      </c>
      <c r="BK70">
        <f ca="1">IFERROR(IF(0=LEN(ReferenceData!$BK$70),"",ReferenceData!$BK$70),"")</f>
        <v>1486.31</v>
      </c>
      <c r="BL70">
        <f ca="1">IFERROR(IF(0=LEN(ReferenceData!$BL$70),"",ReferenceData!$BL$70),"")</f>
        <v>1340.3440000000001</v>
      </c>
      <c r="BM70" t="str">
        <f ca="1">IFERROR(IF(0=LEN(ReferenceData!$BM$70),"",ReferenceData!$BM$70),"")</f>
        <v/>
      </c>
    </row>
    <row r="71" spans="1:65" x14ac:dyDescent="0.25">
      <c r="A71" t="str">
        <f>IFERROR(IF(0=LEN(ReferenceData!$A$71),"",ReferenceData!$A$71),"")</f>
        <v xml:space="preserve">            Capital One Financial Corp</v>
      </c>
      <c r="B71" t="str">
        <f>IFERROR(IF(0=LEN(ReferenceData!$B$71),"",ReferenceData!$B$71),"")</f>
        <v>COF US Equity</v>
      </c>
      <c r="C71" t="str">
        <f>IFERROR(IF(0=LEN(ReferenceData!$C$71),"",ReferenceData!$C$71),"")</f>
        <v>FC070</v>
      </c>
      <c r="D71" t="str">
        <f>IFERROR(IF(0=LEN(ReferenceData!$D$71),"",ReferenceData!$D$71),"")</f>
        <v>FDIC_TRADING_ACCT_ASSETS</v>
      </c>
      <c r="E71" t="str">
        <f>IFERROR(IF(0=LEN(ReferenceData!$E$71),"",ReferenceData!$E$71),"")</f>
        <v>Dynamic</v>
      </c>
      <c r="F71">
        <f ca="1">IFERROR(IF(0=LEN(ReferenceData!$F$71),"",ReferenceData!$F$71),"")</f>
        <v>1203.1669999999999</v>
      </c>
      <c r="G71">
        <f ca="1">IFERROR(IF(0=LEN(ReferenceData!$G$71),"",ReferenceData!$G$71),"")</f>
        <v>1661.548</v>
      </c>
      <c r="H71">
        <f ca="1">IFERROR(IF(0=LEN(ReferenceData!$H$71),"",ReferenceData!$H$71),"")</f>
        <v>1371.3689999999999</v>
      </c>
      <c r="I71">
        <f ca="1">IFERROR(IF(0=LEN(ReferenceData!$I$71),"",ReferenceData!$I$71),"")</f>
        <v>1536.1279999999999</v>
      </c>
      <c r="J71">
        <f ca="1">IFERROR(IF(0=LEN(ReferenceData!$J$71),"",ReferenceData!$J$71),"")</f>
        <v>1522.2529999999999</v>
      </c>
      <c r="K71">
        <f ca="1">IFERROR(IF(0=LEN(ReferenceData!$K$71),"",ReferenceData!$K$71),"")</f>
        <v>1796.819</v>
      </c>
      <c r="L71">
        <f ca="1">IFERROR(IF(0=LEN(ReferenceData!$L$71),"",ReferenceData!$L$71),"")</f>
        <v>1581.172</v>
      </c>
      <c r="M71">
        <f ca="1">IFERROR(IF(0=LEN(ReferenceData!$M$71),"",ReferenceData!$M$71),"")</f>
        <v>1492.9580000000001</v>
      </c>
      <c r="N71">
        <f ca="1">IFERROR(IF(0=LEN(ReferenceData!$N$71),"",ReferenceData!$N$71),"")</f>
        <v>2187.788</v>
      </c>
      <c r="O71">
        <f ca="1">IFERROR(IF(0=LEN(ReferenceData!$O$71),"",ReferenceData!$O$71),"")</f>
        <v>3110.4989999999998</v>
      </c>
      <c r="P71">
        <f ca="1">IFERROR(IF(0=LEN(ReferenceData!$P$71),"",ReferenceData!$P$71),"")</f>
        <v>3139.203</v>
      </c>
      <c r="Q71">
        <f ca="1">IFERROR(IF(0=LEN(ReferenceData!$Q$71),"",ReferenceData!$Q$71),"")</f>
        <v>3716.951</v>
      </c>
      <c r="R71">
        <f ca="1">IFERROR(IF(0=LEN(ReferenceData!$R$71),"",ReferenceData!$R$71),"")</f>
        <v>2128.335</v>
      </c>
      <c r="S71">
        <f ca="1">IFERROR(IF(0=LEN(ReferenceData!$S$71),"",ReferenceData!$S$71),"")</f>
        <v>3801.136</v>
      </c>
      <c r="T71">
        <f ca="1">IFERROR(IF(0=LEN(ReferenceData!$T$71),"",ReferenceData!$T$71),"")</f>
        <v>2659.2379999999998</v>
      </c>
      <c r="U71">
        <f ca="1">IFERROR(IF(0=LEN(ReferenceData!$U$71),"",ReferenceData!$U$71),"")</f>
        <v>1925.6759999999999</v>
      </c>
      <c r="V71">
        <f ca="1">IFERROR(IF(0=LEN(ReferenceData!$V$71),"",ReferenceData!$V$71),"")</f>
        <v>2127.8000000000002</v>
      </c>
      <c r="W71">
        <f ca="1">IFERROR(IF(0=LEN(ReferenceData!$W$71),"",ReferenceData!$W$71),"")</f>
        <v>2317.5010000000002</v>
      </c>
      <c r="X71">
        <f ca="1">IFERROR(IF(0=LEN(ReferenceData!$X$71),"",ReferenceData!$X$71),"")</f>
        <v>2438.223</v>
      </c>
      <c r="Y71">
        <f ca="1">IFERROR(IF(0=LEN(ReferenceData!$Y$71),"",ReferenceData!$Y$71),"")</f>
        <v>2878.268</v>
      </c>
      <c r="Z71">
        <f ca="1">IFERROR(IF(0=LEN(ReferenceData!$Z$71),"",ReferenceData!$Z$71),"")</f>
        <v>1067.0730000000001</v>
      </c>
      <c r="AA71">
        <f ca="1">IFERROR(IF(0=LEN(ReferenceData!$AA$71),"",ReferenceData!$AA$71),"")</f>
        <v>1183.482</v>
      </c>
      <c r="AB71">
        <f ca="1">IFERROR(IF(0=LEN(ReferenceData!$AB$71),"",ReferenceData!$AB$71),"")</f>
        <v>1064.7190000000001</v>
      </c>
      <c r="AC71">
        <f ca="1">IFERROR(IF(0=LEN(ReferenceData!$AC$71),"",ReferenceData!$AC$71),"")</f>
        <v>792.74300000000005</v>
      </c>
      <c r="AD71">
        <f ca="1">IFERROR(IF(0=LEN(ReferenceData!$AD$71),"",ReferenceData!$AD$71),"")</f>
        <v>491.66800000000001</v>
      </c>
      <c r="AE71">
        <f ca="1">IFERROR(IF(0=LEN(ReferenceData!$AE$71),"",ReferenceData!$AE$71),"")</f>
        <v>1200.0350000000001</v>
      </c>
      <c r="AF71">
        <f ca="1">IFERROR(IF(0=LEN(ReferenceData!$AF$71),"",ReferenceData!$AF$71),"")</f>
        <v>1088.673</v>
      </c>
      <c r="AG71">
        <f ca="1">IFERROR(IF(0=LEN(ReferenceData!$AG$71),"",ReferenceData!$AG$71),"")</f>
        <v>781.96</v>
      </c>
      <c r="AH71">
        <f ca="1">IFERROR(IF(0=LEN(ReferenceData!$AH$71),"",ReferenceData!$AH$71),"")</f>
        <v>866.23699999999997</v>
      </c>
      <c r="AI71">
        <f ca="1">IFERROR(IF(0=LEN(ReferenceData!$AI$71),"",ReferenceData!$AI$71),"")</f>
        <v>659.73500000000001</v>
      </c>
      <c r="AJ71">
        <f ca="1">IFERROR(IF(0=LEN(ReferenceData!$AJ$71),"",ReferenceData!$AJ$71),"")</f>
        <v>574.14499999999998</v>
      </c>
      <c r="AK71">
        <f ca="1">IFERROR(IF(0=LEN(ReferenceData!$AK$71),"",ReferenceData!$AK$71),"")</f>
        <v>659.029</v>
      </c>
      <c r="AL71">
        <f ca="1">IFERROR(IF(0=LEN(ReferenceData!$AL$71),"",ReferenceData!$AL$71),"")</f>
        <v>755.851</v>
      </c>
      <c r="AM71">
        <f ca="1">IFERROR(IF(0=LEN(ReferenceData!$AM$71),"",ReferenceData!$AM$71),"")</f>
        <v>812.28200000000004</v>
      </c>
      <c r="AN71">
        <f ca="1">IFERROR(IF(0=LEN(ReferenceData!$AN$71),"",ReferenceData!$AN$71),"")</f>
        <v>898.33100000000002</v>
      </c>
      <c r="AO71">
        <f ca="1">IFERROR(IF(0=LEN(ReferenceData!$AO$71),"",ReferenceData!$AO$71),"")</f>
        <v>761.53399999999999</v>
      </c>
      <c r="AP71">
        <f ca="1">IFERROR(IF(0=LEN(ReferenceData!$AP$71),"",ReferenceData!$AP$71),"")</f>
        <v>547.55100000000004</v>
      </c>
      <c r="AQ71">
        <f ca="1">IFERROR(IF(0=LEN(ReferenceData!$AQ$71),"",ReferenceData!$AQ$71),"")</f>
        <v>603.75699999999995</v>
      </c>
      <c r="AR71">
        <f ca="1">IFERROR(IF(0=LEN(ReferenceData!$AR$71),"",ReferenceData!$AR$71),"")</f>
        <v>505.714</v>
      </c>
      <c r="AS71">
        <f ca="1">IFERROR(IF(0=LEN(ReferenceData!$AS$71),"",ReferenceData!$AS$71),"")</f>
        <v>666.75900000000001</v>
      </c>
      <c r="AT71">
        <f ca="1">IFERROR(IF(0=LEN(ReferenceData!$AT$71),"",ReferenceData!$AT$71),"")</f>
        <v>594.61800000000005</v>
      </c>
      <c r="AU71">
        <f ca="1">IFERROR(IF(0=LEN(ReferenceData!$AU$71),"",ReferenceData!$AU$71),"")</f>
        <v>537.02200000000005</v>
      </c>
      <c r="AV71">
        <f ca="1">IFERROR(IF(0=LEN(ReferenceData!$AV$71),"",ReferenceData!$AV$71),"")</f>
        <v>560.81299999999999</v>
      </c>
      <c r="AW71">
        <f ca="1">IFERROR(IF(0=LEN(ReferenceData!$AW$71),"",ReferenceData!$AW$71),"")</f>
        <v>557.29499999999996</v>
      </c>
      <c r="AX71">
        <f ca="1">IFERROR(IF(0=LEN(ReferenceData!$AX$71),"",ReferenceData!$AX$71),"")</f>
        <v>601.16</v>
      </c>
      <c r="AY71">
        <f ca="1">IFERROR(IF(0=LEN(ReferenceData!$AY$71),"",ReferenceData!$AY$71),"")</f>
        <v>594.53</v>
      </c>
      <c r="AZ71">
        <f ca="1">IFERROR(IF(0=LEN(ReferenceData!$AZ$71),"",ReferenceData!$AZ$71),"")</f>
        <v>597.76900000000001</v>
      </c>
      <c r="BA71">
        <f ca="1">IFERROR(IF(0=LEN(ReferenceData!$BA$71),"",ReferenceData!$BA$71),"")</f>
        <v>639.64800000000002</v>
      </c>
      <c r="BB71">
        <f ca="1">IFERROR(IF(0=LEN(ReferenceData!$BB$71),"",ReferenceData!$BB$71),"")</f>
        <v>684.89499999999998</v>
      </c>
      <c r="BC71">
        <f ca="1">IFERROR(IF(0=LEN(ReferenceData!$BC$71),"",ReferenceData!$BC$71),"")</f>
        <v>734.75</v>
      </c>
      <c r="BD71">
        <f ca="1">IFERROR(IF(0=LEN(ReferenceData!$BD$71),"",ReferenceData!$BD$71),"")</f>
        <v>640.25099999999998</v>
      </c>
      <c r="BE71">
        <f ca="1">IFERROR(IF(0=LEN(ReferenceData!$BE$71),"",ReferenceData!$BE$71),"")</f>
        <v>555.95100000000002</v>
      </c>
      <c r="BF71">
        <f ca="1">IFERROR(IF(0=LEN(ReferenceData!$BF$71),"",ReferenceData!$BF$71),"")</f>
        <v>584.41300000000001</v>
      </c>
      <c r="BG71">
        <f ca="1">IFERROR(IF(0=LEN(ReferenceData!$BG$71),"",ReferenceData!$BG$71),"")</f>
        <v>580.97799999999995</v>
      </c>
      <c r="BH71">
        <f ca="1">IFERROR(IF(0=LEN(ReferenceData!$BH$71),"",ReferenceData!$BH$71),"")</f>
        <v>434.53500000000003</v>
      </c>
      <c r="BI71">
        <f ca="1">IFERROR(IF(0=LEN(ReferenceData!$BI$71),"",ReferenceData!$BI$71),"")</f>
        <v>412.58100000000002</v>
      </c>
      <c r="BJ71">
        <f ca="1">IFERROR(IF(0=LEN(ReferenceData!$BJ$71),"",ReferenceData!$BJ$71),"")</f>
        <v>426.74200000000002</v>
      </c>
      <c r="BK71">
        <f ca="1">IFERROR(IF(0=LEN(ReferenceData!$BK$71),"",ReferenceData!$BK$71),"")</f>
        <v>518.44600000000003</v>
      </c>
      <c r="BL71">
        <f ca="1">IFERROR(IF(0=LEN(ReferenceData!$BL$71),"",ReferenceData!$BL$71),"")</f>
        <v>469.92</v>
      </c>
      <c r="BM71" t="str">
        <f ca="1">IFERROR(IF(0=LEN(ReferenceData!$BM$71),"",ReferenceData!$BM$71),"")</f>
        <v/>
      </c>
    </row>
    <row r="72" spans="1:65" x14ac:dyDescent="0.25">
      <c r="A72" t="str">
        <f>IFERROR(IF(0=LEN(ReferenceData!$A$72),"",ReferenceData!$A$72),"")</f>
        <v xml:space="preserve">            Comerica Inc</v>
      </c>
      <c r="B72" t="str">
        <f>IFERROR(IF(0=LEN(ReferenceData!$B$72),"",ReferenceData!$B$72),"")</f>
        <v>CMA US Equity</v>
      </c>
      <c r="C72" t="str">
        <f>IFERROR(IF(0=LEN(ReferenceData!$C$72),"",ReferenceData!$C$72),"")</f>
        <v>FC070</v>
      </c>
      <c r="D72" t="str">
        <f>IFERROR(IF(0=LEN(ReferenceData!$D$72),"",ReferenceData!$D$72),"")</f>
        <v>FDIC_TRADING_ACCT_ASSETS</v>
      </c>
      <c r="E72" t="str">
        <f>IFERROR(IF(0=LEN(ReferenceData!$E$72),"",ReferenceData!$E$72),"")</f>
        <v>Dynamic</v>
      </c>
      <c r="F72" t="str">
        <f ca="1">IFERROR(IF(0=LEN(ReferenceData!$F$72),"",ReferenceData!$F$72),"")</f>
        <v/>
      </c>
      <c r="G72">
        <f ca="1">IFERROR(IF(0=LEN(ReferenceData!$G$72),"",ReferenceData!$G$72),"")</f>
        <v>544</v>
      </c>
      <c r="H72">
        <f ca="1">IFERROR(IF(0=LEN(ReferenceData!$H$72),"",ReferenceData!$H$72),"")</f>
        <v>542</v>
      </c>
      <c r="I72">
        <f ca="1">IFERROR(IF(0=LEN(ReferenceData!$I$72),"",ReferenceData!$I$72),"")</f>
        <v>648</v>
      </c>
      <c r="J72">
        <f ca="1">IFERROR(IF(0=LEN(ReferenceData!$J$72),"",ReferenceData!$J$72),"")</f>
        <v>668</v>
      </c>
      <c r="K72">
        <f ca="1">IFERROR(IF(0=LEN(ReferenceData!$K$72),"",ReferenceData!$K$72),"")</f>
        <v>672</v>
      </c>
      <c r="L72">
        <f ca="1">IFERROR(IF(0=LEN(ReferenceData!$L$72),"",ReferenceData!$L$72),"")</f>
        <v>577</v>
      </c>
      <c r="M72">
        <f ca="1">IFERROR(IF(0=LEN(ReferenceData!$M$72),"",ReferenceData!$M$72),"")</f>
        <v>459</v>
      </c>
      <c r="N72">
        <f ca="1">IFERROR(IF(0=LEN(ReferenceData!$N$72),"",ReferenceData!$N$72),"")</f>
        <v>545</v>
      </c>
      <c r="O72">
        <f ca="1">IFERROR(IF(0=LEN(ReferenceData!$O$72),"",ReferenceData!$O$72),"")</f>
        <v>730</v>
      </c>
      <c r="P72">
        <f ca="1">IFERROR(IF(0=LEN(ReferenceData!$P$72),"",ReferenceData!$P$72),"")</f>
        <v>1379</v>
      </c>
      <c r="Q72">
        <f ca="1">IFERROR(IF(0=LEN(ReferenceData!$Q$72),"",ReferenceData!$Q$72),"")</f>
        <v>1615</v>
      </c>
      <c r="R72">
        <f ca="1">IFERROR(IF(0=LEN(ReferenceData!$R$72),"",ReferenceData!$R$72),"")</f>
        <v>859</v>
      </c>
      <c r="S72">
        <f ca="1">IFERROR(IF(0=LEN(ReferenceData!$S$72),"",ReferenceData!$S$72),"")</f>
        <v>1144</v>
      </c>
      <c r="T72">
        <f ca="1">IFERROR(IF(0=LEN(ReferenceData!$T$72),"",ReferenceData!$T$72),"")</f>
        <v>1009</v>
      </c>
      <c r="U72">
        <f ca="1">IFERROR(IF(0=LEN(ReferenceData!$U$72),"",ReferenceData!$U$72),"")</f>
        <v>671</v>
      </c>
      <c r="V72">
        <f ca="1">IFERROR(IF(0=LEN(ReferenceData!$V$72),"",ReferenceData!$V$72),"")</f>
        <v>713</v>
      </c>
      <c r="W72">
        <f ca="1">IFERROR(IF(0=LEN(ReferenceData!$W$72),"",ReferenceData!$W$72),"")</f>
        <v>740</v>
      </c>
      <c r="X72">
        <f ca="1">IFERROR(IF(0=LEN(ReferenceData!$X$72),"",ReferenceData!$X$72),"")</f>
        <v>769</v>
      </c>
      <c r="Y72">
        <f ca="1">IFERROR(IF(0=LEN(ReferenceData!$Y$72),"",ReferenceData!$Y$72),"")</f>
        <v>712</v>
      </c>
      <c r="Z72">
        <f ca="1">IFERROR(IF(0=LEN(ReferenceData!$Z$72),"",ReferenceData!$Z$72),"")</f>
        <v>342</v>
      </c>
      <c r="AA72">
        <f ca="1">IFERROR(IF(0=LEN(ReferenceData!$AA$72),"",ReferenceData!$AA$72),"")</f>
        <v>395</v>
      </c>
      <c r="AB72">
        <f ca="1">IFERROR(IF(0=LEN(ReferenceData!$AB$72),"",ReferenceData!$AB$72),"")</f>
        <v>328</v>
      </c>
      <c r="AC72">
        <f ca="1">IFERROR(IF(0=LEN(ReferenceData!$AC$72),"",ReferenceData!$AC$72),"")</f>
        <v>230</v>
      </c>
      <c r="AD72">
        <f ca="1">IFERROR(IF(0=LEN(ReferenceData!$AD$72),"",ReferenceData!$AD$72),"")</f>
        <v>144.02799999999999</v>
      </c>
      <c r="AE72">
        <f ca="1">IFERROR(IF(0=LEN(ReferenceData!$AE$72),"",ReferenceData!$AE$72),"")</f>
        <v>312.60000000000002</v>
      </c>
      <c r="AF72">
        <f ca="1">IFERROR(IF(0=LEN(ReferenceData!$AF$72),"",ReferenceData!$AF$72),"")</f>
        <v>286.42500000000001</v>
      </c>
      <c r="AG72">
        <f ca="1">IFERROR(IF(0=LEN(ReferenceData!$AG$72),"",ReferenceData!$AG$72),"")</f>
        <v>215.94300000000001</v>
      </c>
      <c r="AH72">
        <f ca="1">IFERROR(IF(0=LEN(ReferenceData!$AH$72),"",ReferenceData!$AH$72),"")</f>
        <v>233.88</v>
      </c>
      <c r="AI72">
        <f ca="1">IFERROR(IF(0=LEN(ReferenceData!$AI$72),"",ReferenceData!$AI$72),"")</f>
        <v>208.904</v>
      </c>
      <c r="AJ72">
        <f ca="1">IFERROR(IF(0=LEN(ReferenceData!$AJ$72),"",ReferenceData!$AJ$72),"")</f>
        <v>201.613</v>
      </c>
      <c r="AK72">
        <f ca="1">IFERROR(IF(0=LEN(ReferenceData!$AK$72),"",ReferenceData!$AK$72),"")</f>
        <v>189.33799999999999</v>
      </c>
      <c r="AL72">
        <f ca="1">IFERROR(IF(0=LEN(ReferenceData!$AL$72),"",ReferenceData!$AL$72),"")</f>
        <v>287.63799999999998</v>
      </c>
      <c r="AM72">
        <f ca="1">IFERROR(IF(0=LEN(ReferenceData!$AM$72),"",ReferenceData!$AM$72),"")</f>
        <v>373.06900000000002</v>
      </c>
      <c r="AN72">
        <f ca="1">IFERROR(IF(0=LEN(ReferenceData!$AN$72),"",ReferenceData!$AN$72),"")</f>
        <v>432.83199999999999</v>
      </c>
      <c r="AO72">
        <f ca="1">IFERROR(IF(0=LEN(ReferenceData!$AO$72),"",ReferenceData!$AO$72),"")</f>
        <v>421.33499999999998</v>
      </c>
      <c r="AP72">
        <f ca="1">IFERROR(IF(0=LEN(ReferenceData!$AP$72),"",ReferenceData!$AP$72),"")</f>
        <v>393.09</v>
      </c>
      <c r="AQ72">
        <f ca="1">IFERROR(IF(0=LEN(ReferenceData!$AQ$72),"",ReferenceData!$AQ$72),"")</f>
        <v>450.488</v>
      </c>
      <c r="AR72">
        <f ca="1">IFERROR(IF(0=LEN(ReferenceData!$AR$72),"",ReferenceData!$AR$72),"")</f>
        <v>361.25</v>
      </c>
      <c r="AS72">
        <f ca="1">IFERROR(IF(0=LEN(ReferenceData!$AS$72),"",ReferenceData!$AS$72),"")</f>
        <v>490.18900000000002</v>
      </c>
      <c r="AT72">
        <f ca="1">IFERROR(IF(0=LEN(ReferenceData!$AT$72),"",ReferenceData!$AT$72),"")</f>
        <v>495.15499999999997</v>
      </c>
      <c r="AU72">
        <f ca="1">IFERROR(IF(0=LEN(ReferenceData!$AU$72),"",ReferenceData!$AU$72),"")</f>
        <v>305.21699999999998</v>
      </c>
      <c r="AV72">
        <f ca="1">IFERROR(IF(0=LEN(ReferenceData!$AV$72),"",ReferenceData!$AV$72),"")</f>
        <v>384.79</v>
      </c>
      <c r="AW72">
        <f ca="1">IFERROR(IF(0=LEN(ReferenceData!$AW$72),"",ReferenceData!$AW$72),"")</f>
        <v>320.08699999999999</v>
      </c>
      <c r="AX72">
        <f ca="1">IFERROR(IF(0=LEN(ReferenceData!$AX$72),"",ReferenceData!$AX$72),"")</f>
        <v>329.14400000000001</v>
      </c>
      <c r="AY72">
        <f ca="1">IFERROR(IF(0=LEN(ReferenceData!$AY$72),"",ReferenceData!$AY$72),"")</f>
        <v>318.738</v>
      </c>
      <c r="AZ72">
        <f ca="1">IFERROR(IF(0=LEN(ReferenceData!$AZ$72),"",ReferenceData!$AZ$72),"")</f>
        <v>360.892</v>
      </c>
      <c r="BA72">
        <f ca="1">IFERROR(IF(0=LEN(ReferenceData!$BA$72),"",ReferenceData!$BA$72),"")</f>
        <v>400.33699999999999</v>
      </c>
      <c r="BB72">
        <f ca="1">IFERROR(IF(0=LEN(ReferenceData!$BB$72),"",ReferenceData!$BB$72),"")</f>
        <v>568.19100000000003</v>
      </c>
      <c r="BC72">
        <f ca="1">IFERROR(IF(0=LEN(ReferenceData!$BC$72),"",ReferenceData!$BC$72),"")</f>
        <v>599.79600000000005</v>
      </c>
      <c r="BD72">
        <f ca="1">IFERROR(IF(0=LEN(ReferenceData!$BD$72),"",ReferenceData!$BD$72),"")</f>
        <v>640.90599999999995</v>
      </c>
      <c r="BE72">
        <f ca="1">IFERROR(IF(0=LEN(ReferenceData!$BE$72),"",ReferenceData!$BE$72),"")</f>
        <v>596.61900000000003</v>
      </c>
      <c r="BF72">
        <f ca="1">IFERROR(IF(0=LEN(ReferenceData!$BF$72),"",ReferenceData!$BF$72),"")</f>
        <v>553.88499999999999</v>
      </c>
      <c r="BG72">
        <f ca="1">IFERROR(IF(0=LEN(ReferenceData!$BG$72),"",ReferenceData!$BG$72),"")</f>
        <v>587.27499999999998</v>
      </c>
      <c r="BH72">
        <f ca="1">IFERROR(IF(0=LEN(ReferenceData!$BH$72),"",ReferenceData!$BH$72),"")</f>
        <v>501.255</v>
      </c>
      <c r="BI72">
        <f ca="1">IFERROR(IF(0=LEN(ReferenceData!$BI$72),"",ReferenceData!$BI$72),"")</f>
        <v>581.57000000000005</v>
      </c>
      <c r="BJ72">
        <f ca="1">IFERROR(IF(0=LEN(ReferenceData!$BJ$72),"",ReferenceData!$BJ$72),"")</f>
        <v>546.072</v>
      </c>
      <c r="BK72">
        <f ca="1">IFERROR(IF(0=LEN(ReferenceData!$BK$72),"",ReferenceData!$BK$72),"")</f>
        <v>580.42700000000002</v>
      </c>
      <c r="BL72">
        <f ca="1">IFERROR(IF(0=LEN(ReferenceData!$BL$72),"",ReferenceData!$BL$72),"")</f>
        <v>562.899</v>
      </c>
      <c r="BM72">
        <f ca="1">IFERROR(IF(0=LEN(ReferenceData!$BM$72),"",ReferenceData!$BM$72),"")</f>
        <v>579.69200000000001</v>
      </c>
    </row>
    <row r="73" spans="1:65" x14ac:dyDescent="0.25">
      <c r="A73" t="str">
        <f>IFERROR(IF(0=LEN(ReferenceData!$A$73),"",ReferenceData!$A$73),"")</f>
        <v xml:space="preserve">            East West Bancorp Inc</v>
      </c>
      <c r="B73" t="str">
        <f>IFERROR(IF(0=LEN(ReferenceData!$B$73),"",ReferenceData!$B$73),"")</f>
        <v>EWBC US Equity</v>
      </c>
      <c r="C73" t="str">
        <f>IFERROR(IF(0=LEN(ReferenceData!$C$73),"",ReferenceData!$C$73),"")</f>
        <v>FC070</v>
      </c>
      <c r="D73" t="str">
        <f>IFERROR(IF(0=LEN(ReferenceData!$D$73),"",ReferenceData!$D$73),"")</f>
        <v>FDIC_TRADING_ACCT_ASSETS</v>
      </c>
      <c r="E73" t="str">
        <f>IFERROR(IF(0=LEN(ReferenceData!$E$73),"",ReferenceData!$E$73),"")</f>
        <v>Dynamic</v>
      </c>
      <c r="F73">
        <f ca="1">IFERROR(IF(0=LEN(ReferenceData!$F$73),"",ReferenceData!$F$73),"")</f>
        <v>0</v>
      </c>
      <c r="G73">
        <f ca="1">IFERROR(IF(0=LEN(ReferenceData!$G$73),"",ReferenceData!$G$73),"")</f>
        <v>0</v>
      </c>
      <c r="H73">
        <f ca="1">IFERROR(IF(0=LEN(ReferenceData!$H$73),"",ReferenceData!$H$73),"")</f>
        <v>0</v>
      </c>
      <c r="I73">
        <f ca="1">IFERROR(IF(0=LEN(ReferenceData!$I$73),"",ReferenceData!$I$73),"")</f>
        <v>0</v>
      </c>
      <c r="J73">
        <f ca="1">IFERROR(IF(0=LEN(ReferenceData!$J$73),"",ReferenceData!$J$73),"")</f>
        <v>0</v>
      </c>
      <c r="K73">
        <f ca="1">IFERROR(IF(0=LEN(ReferenceData!$K$73),"",ReferenceData!$K$73),"")</f>
        <v>0</v>
      </c>
      <c r="L73">
        <f ca="1">IFERROR(IF(0=LEN(ReferenceData!$L$73),"",ReferenceData!$L$73),"")</f>
        <v>0</v>
      </c>
      <c r="M73">
        <f ca="1">IFERROR(IF(0=LEN(ReferenceData!$M$73),"",ReferenceData!$M$73),"")</f>
        <v>0</v>
      </c>
      <c r="N73">
        <f ca="1">IFERROR(IF(0=LEN(ReferenceData!$N$73),"",ReferenceData!$N$73),"")</f>
        <v>0</v>
      </c>
      <c r="O73">
        <f ca="1">IFERROR(IF(0=LEN(ReferenceData!$O$73),"",ReferenceData!$O$73),"")</f>
        <v>0</v>
      </c>
      <c r="P73">
        <f ca="1">IFERROR(IF(0=LEN(ReferenceData!$P$73),"",ReferenceData!$P$73),"")</f>
        <v>0</v>
      </c>
      <c r="Q73">
        <f ca="1">IFERROR(IF(0=LEN(ReferenceData!$Q$73),"",ReferenceData!$Q$73),"")</f>
        <v>0</v>
      </c>
      <c r="R73">
        <f ca="1">IFERROR(IF(0=LEN(ReferenceData!$R$73),"",ReferenceData!$R$73),"")</f>
        <v>0</v>
      </c>
      <c r="S73">
        <f ca="1">IFERROR(IF(0=LEN(ReferenceData!$S$73),"",ReferenceData!$S$73),"")</f>
        <v>0</v>
      </c>
      <c r="T73">
        <f ca="1">IFERROR(IF(0=LEN(ReferenceData!$T$73),"",ReferenceData!$T$73),"")</f>
        <v>0</v>
      </c>
      <c r="U73">
        <f ca="1">IFERROR(IF(0=LEN(ReferenceData!$U$73),"",ReferenceData!$U$73),"")</f>
        <v>0</v>
      </c>
      <c r="V73">
        <f ca="1">IFERROR(IF(0=LEN(ReferenceData!$V$73),"",ReferenceData!$V$73),"")</f>
        <v>0</v>
      </c>
      <c r="W73">
        <f ca="1">IFERROR(IF(0=LEN(ReferenceData!$W$73),"",ReferenceData!$W$73),"")</f>
        <v>0</v>
      </c>
      <c r="X73">
        <f ca="1">IFERROR(IF(0=LEN(ReferenceData!$X$73),"",ReferenceData!$X$73),"")</f>
        <v>0</v>
      </c>
      <c r="Y73">
        <f ca="1">IFERROR(IF(0=LEN(ReferenceData!$Y$73),"",ReferenceData!$Y$73),"")</f>
        <v>0</v>
      </c>
      <c r="Z73">
        <f ca="1">IFERROR(IF(0=LEN(ReferenceData!$Z$73),"",ReferenceData!$Z$73),"")</f>
        <v>0</v>
      </c>
      <c r="AA73">
        <f ca="1">IFERROR(IF(0=LEN(ReferenceData!$AA$73),"",ReferenceData!$AA$73),"")</f>
        <v>0</v>
      </c>
      <c r="AB73">
        <f ca="1">IFERROR(IF(0=LEN(ReferenceData!$AB$73),"",ReferenceData!$AB$73),"")</f>
        <v>0</v>
      </c>
      <c r="AC73">
        <f ca="1">IFERROR(IF(0=LEN(ReferenceData!$AC$73),"",ReferenceData!$AC$73),"")</f>
        <v>0</v>
      </c>
      <c r="AD73">
        <f ca="1">IFERROR(IF(0=LEN(ReferenceData!$AD$73),"",ReferenceData!$AD$73),"")</f>
        <v>0</v>
      </c>
      <c r="AE73">
        <f ca="1">IFERROR(IF(0=LEN(ReferenceData!$AE$73),"",ReferenceData!$AE$73),"")</f>
        <v>0</v>
      </c>
      <c r="AF73">
        <f ca="1">IFERROR(IF(0=LEN(ReferenceData!$AF$73),"",ReferenceData!$AF$73),"")</f>
        <v>0</v>
      </c>
      <c r="AG73">
        <f ca="1">IFERROR(IF(0=LEN(ReferenceData!$AG$73),"",ReferenceData!$AG$73),"")</f>
        <v>0</v>
      </c>
      <c r="AH73">
        <f ca="1">IFERROR(IF(0=LEN(ReferenceData!$AH$73),"",ReferenceData!$AH$73),"")</f>
        <v>0</v>
      </c>
      <c r="AI73">
        <f ca="1">IFERROR(IF(0=LEN(ReferenceData!$AI$73),"",ReferenceData!$AI$73),"")</f>
        <v>0</v>
      </c>
      <c r="AJ73">
        <f ca="1">IFERROR(IF(0=LEN(ReferenceData!$AJ$73),"",ReferenceData!$AJ$73),"")</f>
        <v>0</v>
      </c>
      <c r="AK73">
        <f ca="1">IFERROR(IF(0=LEN(ReferenceData!$AK$73),"",ReferenceData!$AK$73),"")</f>
        <v>0</v>
      </c>
      <c r="AL73">
        <f ca="1">IFERROR(IF(0=LEN(ReferenceData!$AL$73),"",ReferenceData!$AL$73),"")</f>
        <v>0</v>
      </c>
      <c r="AM73">
        <f ca="1">IFERROR(IF(0=LEN(ReferenceData!$AM$73),"",ReferenceData!$AM$73),"")</f>
        <v>0</v>
      </c>
      <c r="AN73">
        <f ca="1">IFERROR(IF(0=LEN(ReferenceData!$AN$73),"",ReferenceData!$AN$73),"")</f>
        <v>0</v>
      </c>
      <c r="AO73">
        <f ca="1">IFERROR(IF(0=LEN(ReferenceData!$AO$73),"",ReferenceData!$AO$73),"")</f>
        <v>0</v>
      </c>
      <c r="AP73">
        <f ca="1">IFERROR(IF(0=LEN(ReferenceData!$AP$73),"",ReferenceData!$AP$73),"")</f>
        <v>0</v>
      </c>
      <c r="AQ73">
        <f ca="1">IFERROR(IF(0=LEN(ReferenceData!$AQ$73),"",ReferenceData!$AQ$73),"")</f>
        <v>0</v>
      </c>
      <c r="AR73">
        <f ca="1">IFERROR(IF(0=LEN(ReferenceData!$AR$73),"",ReferenceData!$AR$73),"")</f>
        <v>0</v>
      </c>
      <c r="AS73">
        <f ca="1">IFERROR(IF(0=LEN(ReferenceData!$AS$73),"",ReferenceData!$AS$73),"")</f>
        <v>0</v>
      </c>
      <c r="AT73">
        <f ca="1">IFERROR(IF(0=LEN(ReferenceData!$AT$73),"",ReferenceData!$AT$73),"")</f>
        <v>0</v>
      </c>
      <c r="AU73">
        <f ca="1">IFERROR(IF(0=LEN(ReferenceData!$AU$73),"",ReferenceData!$AU$73),"")</f>
        <v>0</v>
      </c>
      <c r="AV73">
        <f ca="1">IFERROR(IF(0=LEN(ReferenceData!$AV$73),"",ReferenceData!$AV$73),"")</f>
        <v>0</v>
      </c>
      <c r="AW73">
        <f ca="1">IFERROR(IF(0=LEN(ReferenceData!$AW$73),"",ReferenceData!$AW$73),"")</f>
        <v>0</v>
      </c>
      <c r="AX73">
        <f ca="1">IFERROR(IF(0=LEN(ReferenceData!$AX$73),"",ReferenceData!$AX$73),"")</f>
        <v>0</v>
      </c>
      <c r="AY73">
        <f ca="1">IFERROR(IF(0=LEN(ReferenceData!$AY$73),"",ReferenceData!$AY$73),"")</f>
        <v>0</v>
      </c>
      <c r="AZ73">
        <f ca="1">IFERROR(IF(0=LEN(ReferenceData!$AZ$73),"",ReferenceData!$AZ$73),"")</f>
        <v>0</v>
      </c>
      <c r="BA73">
        <f ca="1">IFERROR(IF(0=LEN(ReferenceData!$BA$73),"",ReferenceData!$BA$73),"")</f>
        <v>0</v>
      </c>
      <c r="BB73">
        <f ca="1">IFERROR(IF(0=LEN(ReferenceData!$BB$73),"",ReferenceData!$BB$73),"")</f>
        <v>0</v>
      </c>
      <c r="BC73">
        <f ca="1">IFERROR(IF(0=LEN(ReferenceData!$BC$73),"",ReferenceData!$BC$73),"")</f>
        <v>0</v>
      </c>
      <c r="BD73">
        <f ca="1">IFERROR(IF(0=LEN(ReferenceData!$BD$73),"",ReferenceData!$BD$73),"")</f>
        <v>0</v>
      </c>
      <c r="BE73">
        <f ca="1">IFERROR(IF(0=LEN(ReferenceData!$BE$73),"",ReferenceData!$BE$73),"")</f>
        <v>0</v>
      </c>
      <c r="BF73">
        <f ca="1">IFERROR(IF(0=LEN(ReferenceData!$BF$73),"",ReferenceData!$BF$73),"")</f>
        <v>0</v>
      </c>
      <c r="BG73">
        <f ca="1">IFERROR(IF(0=LEN(ReferenceData!$BG$73),"",ReferenceData!$BG$73),"")</f>
        <v>0</v>
      </c>
      <c r="BH73">
        <f ca="1">IFERROR(IF(0=LEN(ReferenceData!$BH$73),"",ReferenceData!$BH$73),"")</f>
        <v>0</v>
      </c>
      <c r="BI73">
        <f ca="1">IFERROR(IF(0=LEN(ReferenceData!$BI$73),"",ReferenceData!$BI$73),"")</f>
        <v>0</v>
      </c>
      <c r="BJ73">
        <f ca="1">IFERROR(IF(0=LEN(ReferenceData!$BJ$73),"",ReferenceData!$BJ$73),"")</f>
        <v>0</v>
      </c>
      <c r="BK73">
        <f ca="1">IFERROR(IF(0=LEN(ReferenceData!$BK$73),"",ReferenceData!$BK$73),"")</f>
        <v>0</v>
      </c>
      <c r="BL73">
        <f ca="1">IFERROR(IF(0=LEN(ReferenceData!$BL$73),"",ReferenceData!$BL$73),"")</f>
        <v>0</v>
      </c>
      <c r="BM73" t="str">
        <f ca="1">IFERROR(IF(0=LEN(ReferenceData!$BM$73),"",ReferenceData!$BM$73),"")</f>
        <v/>
      </c>
    </row>
    <row r="74" spans="1:65" x14ac:dyDescent="0.25">
      <c r="A74" t="str">
        <f>IFERROR(IF(0=LEN(ReferenceData!$A$74),"",ReferenceData!$A$74),"")</f>
        <v xml:space="preserve">            Fifth Third Bancorp</v>
      </c>
      <c r="B74" t="str">
        <f>IFERROR(IF(0=LEN(ReferenceData!$B$74),"",ReferenceData!$B$74),"")</f>
        <v>FITB US Equity</v>
      </c>
      <c r="C74" t="str">
        <f>IFERROR(IF(0=LEN(ReferenceData!$C$74),"",ReferenceData!$C$74),"")</f>
        <v>FC070</v>
      </c>
      <c r="D74" t="str">
        <f>IFERROR(IF(0=LEN(ReferenceData!$D$74),"",ReferenceData!$D$74),"")</f>
        <v>FDIC_TRADING_ACCT_ASSETS</v>
      </c>
      <c r="E74" t="str">
        <f>IFERROR(IF(0=LEN(ReferenceData!$E$74),"",ReferenceData!$E$74),"")</f>
        <v>Dynamic</v>
      </c>
      <c r="F74">
        <f ca="1">IFERROR(IF(0=LEN(ReferenceData!$F$74),"",ReferenceData!$F$74),"")</f>
        <v>3926</v>
      </c>
      <c r="G74">
        <f ca="1">IFERROR(IF(0=LEN(ReferenceData!$G$74),"",ReferenceData!$G$74),"")</f>
        <v>3638</v>
      </c>
      <c r="H74">
        <f ca="1">IFERROR(IF(0=LEN(ReferenceData!$H$74),"",ReferenceData!$H$74),"")</f>
        <v>4398</v>
      </c>
      <c r="I74">
        <f ca="1">IFERROR(IF(0=LEN(ReferenceData!$I$74),"",ReferenceData!$I$74),"")</f>
        <v>4234</v>
      </c>
      <c r="J74">
        <f ca="1">IFERROR(IF(0=LEN(ReferenceData!$J$74),"",ReferenceData!$J$74),"")</f>
        <v>4061</v>
      </c>
      <c r="K74">
        <f ca="1">IFERROR(IF(0=LEN(ReferenceData!$K$74),"",ReferenceData!$K$74),"")</f>
        <v>4657</v>
      </c>
      <c r="L74">
        <f ca="1">IFERROR(IF(0=LEN(ReferenceData!$L$74),"",ReferenceData!$L$74),"")</f>
        <v>4298</v>
      </c>
      <c r="M74">
        <f ca="1">IFERROR(IF(0=LEN(ReferenceData!$M$74),"",ReferenceData!$M$74),"")</f>
        <v>3964</v>
      </c>
      <c r="N74">
        <f ca="1">IFERROR(IF(0=LEN(ReferenceData!$N$74),"",ReferenceData!$N$74),"")</f>
        <v>3572.4949999999999</v>
      </c>
      <c r="O74">
        <f ca="1">IFERROR(IF(0=LEN(ReferenceData!$O$74),"",ReferenceData!$O$74),"")</f>
        <v>4702.4049999999997</v>
      </c>
      <c r="P74">
        <f ca="1">IFERROR(IF(0=LEN(ReferenceData!$P$74),"",ReferenceData!$P$74),"")</f>
        <v>4366.3890000000001</v>
      </c>
      <c r="Q74">
        <f ca="1">IFERROR(IF(0=LEN(ReferenceData!$Q$74),"",ReferenceData!$Q$74),"")</f>
        <v>4437.9480000000003</v>
      </c>
      <c r="R74">
        <f ca="1">IFERROR(IF(0=LEN(ReferenceData!$R$74),"",ReferenceData!$R$74),"")</f>
        <v>3016.2</v>
      </c>
      <c r="S74">
        <f ca="1">IFERROR(IF(0=LEN(ReferenceData!$S$74),"",ReferenceData!$S$74),"")</f>
        <v>4132.8180000000002</v>
      </c>
      <c r="T74">
        <f ca="1">IFERROR(IF(0=LEN(ReferenceData!$T$74),"",ReferenceData!$T$74),"")</f>
        <v>3406.098</v>
      </c>
      <c r="U74">
        <f ca="1">IFERROR(IF(0=LEN(ReferenceData!$U$74),"",ReferenceData!$U$74),"")</f>
        <v>2695.3009999999999</v>
      </c>
      <c r="V74">
        <f ca="1">IFERROR(IF(0=LEN(ReferenceData!$V$74),"",ReferenceData!$V$74),"")</f>
        <v>2700.4369999999999</v>
      </c>
      <c r="W74">
        <f ca="1">IFERROR(IF(0=LEN(ReferenceData!$W$74),"",ReferenceData!$W$74),"")</f>
        <v>3029.2950000000001</v>
      </c>
      <c r="X74">
        <f ca="1">IFERROR(IF(0=LEN(ReferenceData!$X$74),"",ReferenceData!$X$74),"")</f>
        <v>3118.5439999999999</v>
      </c>
      <c r="Y74">
        <f ca="1">IFERROR(IF(0=LEN(ReferenceData!$Y$74),"",ReferenceData!$Y$74),"")</f>
        <v>3725.8040000000001</v>
      </c>
      <c r="Z74">
        <f ca="1">IFERROR(IF(0=LEN(ReferenceData!$Z$74),"",ReferenceData!$Z$74),"")</f>
        <v>1807.34</v>
      </c>
      <c r="AA74">
        <f ca="1">IFERROR(IF(0=LEN(ReferenceData!$AA$74),"",ReferenceData!$AA$74),"")</f>
        <v>1970.001</v>
      </c>
      <c r="AB74">
        <f ca="1">IFERROR(IF(0=LEN(ReferenceData!$AB$74),"",ReferenceData!$AB$74),"")</f>
        <v>1769.8920000000001</v>
      </c>
      <c r="AC74">
        <f ca="1">IFERROR(IF(0=LEN(ReferenceData!$AC$74),"",ReferenceData!$AC$74),"")</f>
        <v>1353.6679999999999</v>
      </c>
      <c r="AD74">
        <f ca="1">IFERROR(IF(0=LEN(ReferenceData!$AD$74),"",ReferenceData!$AD$74),"")</f>
        <v>1385.098</v>
      </c>
      <c r="AE74">
        <f ca="1">IFERROR(IF(0=LEN(ReferenceData!$AE$74),"",ReferenceData!$AE$74),"")</f>
        <v>1390.6110000000001</v>
      </c>
      <c r="AF74">
        <f ca="1">IFERROR(IF(0=LEN(ReferenceData!$AF$74),"",ReferenceData!$AF$74),"")</f>
        <v>1307.8230000000001</v>
      </c>
      <c r="AG74">
        <f ca="1">IFERROR(IF(0=LEN(ReferenceData!$AG$74),"",ReferenceData!$AG$74),"")</f>
        <v>1502.4870000000001</v>
      </c>
      <c r="AH74">
        <f ca="1">IFERROR(IF(0=LEN(ReferenceData!$AH$74),"",ReferenceData!$AH$74),"")</f>
        <v>1312.3340000000001</v>
      </c>
      <c r="AI74">
        <f ca="1">IFERROR(IF(0=LEN(ReferenceData!$AI$74),"",ReferenceData!$AI$74),"")</f>
        <v>1233.627</v>
      </c>
      <c r="AJ74">
        <f ca="1">IFERROR(IF(0=LEN(ReferenceData!$AJ$74),"",ReferenceData!$AJ$74),"")</f>
        <v>1243.751</v>
      </c>
      <c r="AK74">
        <f ca="1">IFERROR(IF(0=LEN(ReferenceData!$AK$74),"",ReferenceData!$AK$74),"")</f>
        <v>1100.202</v>
      </c>
      <c r="AL74">
        <f ca="1">IFERROR(IF(0=LEN(ReferenceData!$AL$74),"",ReferenceData!$AL$74),"")</f>
        <v>936.13199999999995</v>
      </c>
      <c r="AM74">
        <f ca="1">IFERROR(IF(0=LEN(ReferenceData!$AM$74),"",ReferenceData!$AM$74),"")</f>
        <v>1108.4570000000001</v>
      </c>
      <c r="AN74">
        <f ca="1">IFERROR(IF(0=LEN(ReferenceData!$AN$74),"",ReferenceData!$AN$74),"")</f>
        <v>1255.261</v>
      </c>
      <c r="AO74">
        <f ca="1">IFERROR(IF(0=LEN(ReferenceData!$AO$74),"",ReferenceData!$AO$74),"")</f>
        <v>1307.7940000000001</v>
      </c>
      <c r="AP74">
        <f ca="1">IFERROR(IF(0=LEN(ReferenceData!$AP$74),"",ReferenceData!$AP$74),"")</f>
        <v>1323.8140000000001</v>
      </c>
      <c r="AQ74">
        <f ca="1">IFERROR(IF(0=LEN(ReferenceData!$AQ$74),"",ReferenceData!$AQ$74),"")</f>
        <v>1493.067</v>
      </c>
      <c r="AR74">
        <f ca="1">IFERROR(IF(0=LEN(ReferenceData!$AR$74),"",ReferenceData!$AR$74),"")</f>
        <v>1379.223</v>
      </c>
      <c r="AS74">
        <f ca="1">IFERROR(IF(0=LEN(ReferenceData!$AS$74),"",ReferenceData!$AS$74),"")</f>
        <v>1649.7719999999999</v>
      </c>
      <c r="AT74">
        <f ca="1">IFERROR(IF(0=LEN(ReferenceData!$AT$74),"",ReferenceData!$AT$74),"")</f>
        <v>1407.8420000000001</v>
      </c>
      <c r="AU74">
        <f ca="1">IFERROR(IF(0=LEN(ReferenceData!$AU$74),"",ReferenceData!$AU$74),"")</f>
        <v>1049.819</v>
      </c>
      <c r="AV74">
        <f ca="1">IFERROR(IF(0=LEN(ReferenceData!$AV$74),"",ReferenceData!$AV$74),"")</f>
        <v>953.18799999999999</v>
      </c>
      <c r="AW74">
        <f ca="1">IFERROR(IF(0=LEN(ReferenceData!$AW$74),"",ReferenceData!$AW$74),"")</f>
        <v>938.28499999999997</v>
      </c>
      <c r="AX74">
        <f ca="1">IFERROR(IF(0=LEN(ReferenceData!$AX$74),"",ReferenceData!$AX$74),"")</f>
        <v>1026.2729999999999</v>
      </c>
      <c r="AY74">
        <f ca="1">IFERROR(IF(0=LEN(ReferenceData!$AY$74),"",ReferenceData!$AY$74),"")</f>
        <v>989.755</v>
      </c>
      <c r="AZ74">
        <f ca="1">IFERROR(IF(0=LEN(ReferenceData!$AZ$74),"",ReferenceData!$AZ$74),"")</f>
        <v>1001.646</v>
      </c>
      <c r="BA74">
        <f ca="1">IFERROR(IF(0=LEN(ReferenceData!$BA$74),"",ReferenceData!$BA$74),"")</f>
        <v>1097.5609999999999</v>
      </c>
      <c r="BB74">
        <f ca="1">IFERROR(IF(0=LEN(ReferenceData!$BB$74),"",ReferenceData!$BB$74),"")</f>
        <v>1140.673</v>
      </c>
      <c r="BC74">
        <f ca="1">IFERROR(IF(0=LEN(ReferenceData!$BC$74),"",ReferenceData!$BC$74),"")</f>
        <v>1262.1079999999999</v>
      </c>
      <c r="BD74">
        <f ca="1">IFERROR(IF(0=LEN(ReferenceData!$BD$74),"",ReferenceData!$BD$74),"")</f>
        <v>1282.5650000000001</v>
      </c>
      <c r="BE74">
        <f ca="1">IFERROR(IF(0=LEN(ReferenceData!$BE$74),"",ReferenceData!$BE$74),"")</f>
        <v>1216.069</v>
      </c>
      <c r="BF74">
        <f ca="1">IFERROR(IF(0=LEN(ReferenceData!$BF$74),"",ReferenceData!$BF$74),"")</f>
        <v>1411.671</v>
      </c>
      <c r="BG74">
        <f ca="1">IFERROR(IF(0=LEN(ReferenceData!$BG$74),"",ReferenceData!$BG$74),"")</f>
        <v>1637.567</v>
      </c>
      <c r="BH74">
        <f ca="1">IFERROR(IF(0=LEN(ReferenceData!$BH$74),"",ReferenceData!$BH$74),"")</f>
        <v>1278.914</v>
      </c>
      <c r="BI74">
        <f ca="1">IFERROR(IF(0=LEN(ReferenceData!$BI$74),"",ReferenceData!$BI$74),"")</f>
        <v>1292.895</v>
      </c>
      <c r="BJ74">
        <f ca="1">IFERROR(IF(0=LEN(ReferenceData!$BJ$74),"",ReferenceData!$BJ$74),"")</f>
        <v>1446.9179999999999</v>
      </c>
      <c r="BK74">
        <f ca="1">IFERROR(IF(0=LEN(ReferenceData!$BK$74),"",ReferenceData!$BK$74),"")</f>
        <v>1650.2439999999999</v>
      </c>
      <c r="BL74">
        <f ca="1">IFERROR(IF(0=LEN(ReferenceData!$BL$74),"",ReferenceData!$BL$74),"")</f>
        <v>1508.537</v>
      </c>
      <c r="BM74" t="str">
        <f ca="1">IFERROR(IF(0=LEN(ReferenceData!$BM$74),"",ReferenceData!$BM$74),"")</f>
        <v/>
      </c>
    </row>
    <row r="75" spans="1:65" x14ac:dyDescent="0.25">
      <c r="A75" t="str">
        <f>IFERROR(IF(0=LEN(ReferenceData!$A$75),"",ReferenceData!$A$75),"")</f>
        <v xml:space="preserve">            First Citizens BancShares Inc/</v>
      </c>
      <c r="B75" t="str">
        <f>IFERROR(IF(0=LEN(ReferenceData!$B$75),"",ReferenceData!$B$75),"")</f>
        <v>FCNCA US Equity</v>
      </c>
      <c r="C75" t="str">
        <f>IFERROR(IF(0=LEN(ReferenceData!$C$75),"",ReferenceData!$C$75),"")</f>
        <v>FC070</v>
      </c>
      <c r="D75" t="str">
        <f>IFERROR(IF(0=LEN(ReferenceData!$D$75),"",ReferenceData!$D$75),"")</f>
        <v>FDIC_TRADING_ACCT_ASSETS</v>
      </c>
      <c r="E75" t="str">
        <f>IFERROR(IF(0=LEN(ReferenceData!$E$75),"",ReferenceData!$E$75),"")</f>
        <v>Dynamic</v>
      </c>
      <c r="F75">
        <f ca="1">IFERROR(IF(0=LEN(ReferenceData!$F$75),"",ReferenceData!$F$75),"")</f>
        <v>0</v>
      </c>
      <c r="G75">
        <f ca="1">IFERROR(IF(0=LEN(ReferenceData!$G$75),"",ReferenceData!$G$75),"")</f>
        <v>0</v>
      </c>
      <c r="H75">
        <f ca="1">IFERROR(IF(0=LEN(ReferenceData!$H$75),"",ReferenceData!$H$75),"")</f>
        <v>0</v>
      </c>
      <c r="I75">
        <f ca="1">IFERROR(IF(0=LEN(ReferenceData!$I$75),"",ReferenceData!$I$75),"")</f>
        <v>0</v>
      </c>
      <c r="J75">
        <f ca="1">IFERROR(IF(0=LEN(ReferenceData!$J$75),"",ReferenceData!$J$75),"")</f>
        <v>0</v>
      </c>
      <c r="K75">
        <f ca="1">IFERROR(IF(0=LEN(ReferenceData!$K$75),"",ReferenceData!$K$75),"")</f>
        <v>0</v>
      </c>
      <c r="L75">
        <f ca="1">IFERROR(IF(0=LEN(ReferenceData!$L$75),"",ReferenceData!$L$75),"")</f>
        <v>0</v>
      </c>
      <c r="M75">
        <f ca="1">IFERROR(IF(0=LEN(ReferenceData!$M$75),"",ReferenceData!$M$75),"")</f>
        <v>0</v>
      </c>
      <c r="N75">
        <f ca="1">IFERROR(IF(0=LEN(ReferenceData!$N$75),"",ReferenceData!$N$75),"")</f>
        <v>0</v>
      </c>
      <c r="O75">
        <f ca="1">IFERROR(IF(0=LEN(ReferenceData!$O$75),"",ReferenceData!$O$75),"")</f>
        <v>0</v>
      </c>
      <c r="P75">
        <f ca="1">IFERROR(IF(0=LEN(ReferenceData!$P$75),"",ReferenceData!$P$75),"")</f>
        <v>0</v>
      </c>
      <c r="Q75">
        <f ca="1">IFERROR(IF(0=LEN(ReferenceData!$Q$75),"",ReferenceData!$Q$75),"")</f>
        <v>0</v>
      </c>
      <c r="R75">
        <f ca="1">IFERROR(IF(0=LEN(ReferenceData!$R$75),"",ReferenceData!$R$75),"")</f>
        <v>0</v>
      </c>
      <c r="S75">
        <f ca="1">IFERROR(IF(0=LEN(ReferenceData!$S$75),"",ReferenceData!$S$75),"")</f>
        <v>0</v>
      </c>
      <c r="T75">
        <f ca="1">IFERROR(IF(0=LEN(ReferenceData!$T$75),"",ReferenceData!$T$75),"")</f>
        <v>0</v>
      </c>
      <c r="U75">
        <f ca="1">IFERROR(IF(0=LEN(ReferenceData!$U$75),"",ReferenceData!$U$75),"")</f>
        <v>0</v>
      </c>
      <c r="V75">
        <f ca="1">IFERROR(IF(0=LEN(ReferenceData!$V$75),"",ReferenceData!$V$75),"")</f>
        <v>0</v>
      </c>
      <c r="W75">
        <f ca="1">IFERROR(IF(0=LEN(ReferenceData!$W$75),"",ReferenceData!$W$75),"")</f>
        <v>0</v>
      </c>
      <c r="X75">
        <f ca="1">IFERROR(IF(0=LEN(ReferenceData!$X$75),"",ReferenceData!$X$75),"")</f>
        <v>0</v>
      </c>
      <c r="Y75">
        <f ca="1">IFERROR(IF(0=LEN(ReferenceData!$Y$75),"",ReferenceData!$Y$75),"")</f>
        <v>0</v>
      </c>
      <c r="Z75">
        <f ca="1">IFERROR(IF(0=LEN(ReferenceData!$Z$75),"",ReferenceData!$Z$75),"")</f>
        <v>0</v>
      </c>
      <c r="AA75">
        <f ca="1">IFERROR(IF(0=LEN(ReferenceData!$AA$75),"",ReferenceData!$AA$75),"")</f>
        <v>0</v>
      </c>
      <c r="AB75">
        <f ca="1">IFERROR(IF(0=LEN(ReferenceData!$AB$75),"",ReferenceData!$AB$75),"")</f>
        <v>0</v>
      </c>
      <c r="AC75">
        <f ca="1">IFERROR(IF(0=LEN(ReferenceData!$AC$75),"",ReferenceData!$AC$75),"")</f>
        <v>0</v>
      </c>
      <c r="AD75">
        <f ca="1">IFERROR(IF(0=LEN(ReferenceData!$AD$75),"",ReferenceData!$AD$75),"")</f>
        <v>0</v>
      </c>
      <c r="AE75">
        <f ca="1">IFERROR(IF(0=LEN(ReferenceData!$AE$75),"",ReferenceData!$AE$75),"")</f>
        <v>0</v>
      </c>
      <c r="AF75">
        <f ca="1">IFERROR(IF(0=LEN(ReferenceData!$AF$75),"",ReferenceData!$AF$75),"")</f>
        <v>0</v>
      </c>
      <c r="AG75">
        <f ca="1">IFERROR(IF(0=LEN(ReferenceData!$AG$75),"",ReferenceData!$AG$75),"")</f>
        <v>0</v>
      </c>
      <c r="AH75">
        <f ca="1">IFERROR(IF(0=LEN(ReferenceData!$AH$75),"",ReferenceData!$AH$75),"")</f>
        <v>0</v>
      </c>
      <c r="AI75">
        <f ca="1">IFERROR(IF(0=LEN(ReferenceData!$AI$75),"",ReferenceData!$AI$75),"")</f>
        <v>0</v>
      </c>
      <c r="AJ75">
        <f ca="1">IFERROR(IF(0=LEN(ReferenceData!$AJ$75),"",ReferenceData!$AJ$75),"")</f>
        <v>0</v>
      </c>
      <c r="AK75">
        <f ca="1">IFERROR(IF(0=LEN(ReferenceData!$AK$75),"",ReferenceData!$AK$75),"")</f>
        <v>0</v>
      </c>
      <c r="AL75">
        <f ca="1">IFERROR(IF(0=LEN(ReferenceData!$AL$75),"",ReferenceData!$AL$75),"")</f>
        <v>0</v>
      </c>
      <c r="AM75">
        <f ca="1">IFERROR(IF(0=LEN(ReferenceData!$AM$75),"",ReferenceData!$AM$75),"")</f>
        <v>0</v>
      </c>
      <c r="AN75">
        <f ca="1">IFERROR(IF(0=LEN(ReferenceData!$AN$75),"",ReferenceData!$AN$75),"")</f>
        <v>0</v>
      </c>
      <c r="AO75">
        <f ca="1">IFERROR(IF(0=LEN(ReferenceData!$AO$75),"",ReferenceData!$AO$75),"")</f>
        <v>0</v>
      </c>
      <c r="AP75">
        <f ca="1">IFERROR(IF(0=LEN(ReferenceData!$AP$75),"",ReferenceData!$AP$75),"")</f>
        <v>0</v>
      </c>
      <c r="AQ75">
        <f ca="1">IFERROR(IF(0=LEN(ReferenceData!$AQ$75),"",ReferenceData!$AQ$75),"")</f>
        <v>0</v>
      </c>
      <c r="AR75">
        <f ca="1">IFERROR(IF(0=LEN(ReferenceData!$AR$75),"",ReferenceData!$AR$75),"")</f>
        <v>0</v>
      </c>
      <c r="AS75">
        <f ca="1">IFERROR(IF(0=LEN(ReferenceData!$AS$75),"",ReferenceData!$AS$75),"")</f>
        <v>0</v>
      </c>
      <c r="AT75">
        <f ca="1">IFERROR(IF(0=LEN(ReferenceData!$AT$75),"",ReferenceData!$AT$75),"")</f>
        <v>0</v>
      </c>
      <c r="AU75">
        <f ca="1">IFERROR(IF(0=LEN(ReferenceData!$AU$75),"",ReferenceData!$AU$75),"")</f>
        <v>0</v>
      </c>
      <c r="AV75">
        <f ca="1">IFERROR(IF(0=LEN(ReferenceData!$AV$75),"",ReferenceData!$AV$75),"")</f>
        <v>0</v>
      </c>
      <c r="AW75">
        <f ca="1">IFERROR(IF(0=LEN(ReferenceData!$AW$75),"",ReferenceData!$AW$75),"")</f>
        <v>0</v>
      </c>
      <c r="AX75">
        <f ca="1">IFERROR(IF(0=LEN(ReferenceData!$AX$75),"",ReferenceData!$AX$75),"")</f>
        <v>0</v>
      </c>
      <c r="AY75">
        <f ca="1">IFERROR(IF(0=LEN(ReferenceData!$AY$75),"",ReferenceData!$AY$75),"")</f>
        <v>0</v>
      </c>
      <c r="AZ75">
        <f ca="1">IFERROR(IF(0=LEN(ReferenceData!$AZ$75),"",ReferenceData!$AZ$75),"")</f>
        <v>0</v>
      </c>
      <c r="BA75">
        <f ca="1">IFERROR(IF(0=LEN(ReferenceData!$BA$75),"",ReferenceData!$BA$75),"")</f>
        <v>0</v>
      </c>
      <c r="BB75">
        <f ca="1">IFERROR(IF(0=LEN(ReferenceData!$BB$75),"",ReferenceData!$BB$75),"")</f>
        <v>0</v>
      </c>
      <c r="BC75">
        <f ca="1">IFERROR(IF(0=LEN(ReferenceData!$BC$75),"",ReferenceData!$BC$75),"")</f>
        <v>0</v>
      </c>
      <c r="BD75">
        <f ca="1">IFERROR(IF(0=LEN(ReferenceData!$BD$75),"",ReferenceData!$BD$75),"")</f>
        <v>0</v>
      </c>
      <c r="BE75">
        <f ca="1">IFERROR(IF(0=LEN(ReferenceData!$BE$75),"",ReferenceData!$BE$75),"")</f>
        <v>0</v>
      </c>
      <c r="BF75">
        <f ca="1">IFERROR(IF(0=LEN(ReferenceData!$BF$75),"",ReferenceData!$BF$75),"")</f>
        <v>0</v>
      </c>
      <c r="BG75">
        <f ca="1">IFERROR(IF(0=LEN(ReferenceData!$BG$75),"",ReferenceData!$BG$75),"")</f>
        <v>0</v>
      </c>
      <c r="BH75">
        <f ca="1">IFERROR(IF(0=LEN(ReferenceData!$BH$75),"",ReferenceData!$BH$75),"")</f>
        <v>0</v>
      </c>
      <c r="BI75">
        <f ca="1">IFERROR(IF(0=LEN(ReferenceData!$BI$75),"",ReferenceData!$BI$75),"")</f>
        <v>0</v>
      </c>
      <c r="BJ75">
        <f ca="1">IFERROR(IF(0=LEN(ReferenceData!$BJ$75),"",ReferenceData!$BJ$75),"")</f>
        <v>0</v>
      </c>
      <c r="BK75">
        <f ca="1">IFERROR(IF(0=LEN(ReferenceData!$BK$75),"",ReferenceData!$BK$75),"")</f>
        <v>0</v>
      </c>
      <c r="BL75">
        <f ca="1">IFERROR(IF(0=LEN(ReferenceData!$BL$75),"",ReferenceData!$BL$75),"")</f>
        <v>0</v>
      </c>
      <c r="BM75" t="str">
        <f ca="1">IFERROR(IF(0=LEN(ReferenceData!$BM$75),"",ReferenceData!$BM$75),"")</f>
        <v/>
      </c>
    </row>
    <row r="76" spans="1:65" x14ac:dyDescent="0.25">
      <c r="A76" t="str">
        <f>IFERROR(IF(0=LEN(ReferenceData!$A$76),"",ReferenceData!$A$76),"")</f>
        <v xml:space="preserve">            Flagstar Financial Inc</v>
      </c>
      <c r="B76" t="str">
        <f>IFERROR(IF(0=LEN(ReferenceData!$B$76),"",ReferenceData!$B$76),"")</f>
        <v>FLG US Equity</v>
      </c>
      <c r="C76" t="str">
        <f>IFERROR(IF(0=LEN(ReferenceData!$C$76),"",ReferenceData!$C$76),"")</f>
        <v>FC070</v>
      </c>
      <c r="D76" t="str">
        <f>IFERROR(IF(0=LEN(ReferenceData!$D$76),"",ReferenceData!$D$76),"")</f>
        <v>FDIC_TRADING_ACCT_ASSETS</v>
      </c>
      <c r="E76" t="str">
        <f>IFERROR(IF(0=LEN(ReferenceData!$E$76),"",ReferenceData!$E$76),"")</f>
        <v>Dynamic</v>
      </c>
      <c r="F76" t="str">
        <f ca="1">IFERROR(IF(0=LEN(ReferenceData!$F$76),"",ReferenceData!$F$76),"")</f>
        <v/>
      </c>
      <c r="G76">
        <f ca="1">IFERROR(IF(0=LEN(ReferenceData!$G$76),"",ReferenceData!$G$76),"")</f>
        <v>6.0629999999999997</v>
      </c>
      <c r="H76">
        <f ca="1">IFERROR(IF(0=LEN(ReferenceData!$H$76),"",ReferenceData!$H$76),"")</f>
        <v>101.703</v>
      </c>
      <c r="I76">
        <f ca="1">IFERROR(IF(0=LEN(ReferenceData!$I$76),"",ReferenceData!$I$76),"")</f>
        <v>91.122</v>
      </c>
      <c r="J76">
        <f ca="1">IFERROR(IF(0=LEN(ReferenceData!$J$76),"",ReferenceData!$J$76),"")</f>
        <v>105.129</v>
      </c>
      <c r="K76">
        <f ca="1">IFERROR(IF(0=LEN(ReferenceData!$K$76),"",ReferenceData!$K$76),"")</f>
        <v>153.59899999999999</v>
      </c>
      <c r="L76">
        <f ca="1">IFERROR(IF(0=LEN(ReferenceData!$L$76),"",ReferenceData!$L$76),"")</f>
        <v>144.78100000000001</v>
      </c>
      <c r="M76">
        <f ca="1">IFERROR(IF(0=LEN(ReferenceData!$M$76),"",ReferenceData!$M$76),"")</f>
        <v>154.18</v>
      </c>
      <c r="N76">
        <f ca="1">IFERROR(IF(0=LEN(ReferenceData!$N$76),"",ReferenceData!$N$76),"")</f>
        <v>207.36099999999999</v>
      </c>
      <c r="O76">
        <f ca="1">IFERROR(IF(0=LEN(ReferenceData!$O$76),"",ReferenceData!$O$76),"")</f>
        <v>0</v>
      </c>
      <c r="P76">
        <f ca="1">IFERROR(IF(0=LEN(ReferenceData!$P$76),"",ReferenceData!$P$76),"")</f>
        <v>0</v>
      </c>
      <c r="Q76">
        <f ca="1">IFERROR(IF(0=LEN(ReferenceData!$Q$76),"",ReferenceData!$Q$76),"")</f>
        <v>0</v>
      </c>
      <c r="R76">
        <f ca="1">IFERROR(IF(0=LEN(ReferenceData!$R$76),"",ReferenceData!$R$76),"")</f>
        <v>0</v>
      </c>
      <c r="S76">
        <f ca="1">IFERROR(IF(0=LEN(ReferenceData!$S$76),"",ReferenceData!$S$76),"")</f>
        <v>0</v>
      </c>
      <c r="T76">
        <f ca="1">IFERROR(IF(0=LEN(ReferenceData!$T$76),"",ReferenceData!$T$76),"")</f>
        <v>0</v>
      </c>
      <c r="U76">
        <f ca="1">IFERROR(IF(0=LEN(ReferenceData!$U$76),"",ReferenceData!$U$76),"")</f>
        <v>0</v>
      </c>
      <c r="V76">
        <f ca="1">IFERROR(IF(0=LEN(ReferenceData!$V$76),"",ReferenceData!$V$76),"")</f>
        <v>0</v>
      </c>
      <c r="W76">
        <f ca="1">IFERROR(IF(0=LEN(ReferenceData!$W$76),"",ReferenceData!$W$76),"")</f>
        <v>0</v>
      </c>
      <c r="X76">
        <f ca="1">IFERROR(IF(0=LEN(ReferenceData!$X$76),"",ReferenceData!$X$76),"")</f>
        <v>0</v>
      </c>
      <c r="Y76">
        <f ca="1">IFERROR(IF(0=LEN(ReferenceData!$Y$76),"",ReferenceData!$Y$76),"")</f>
        <v>0</v>
      </c>
      <c r="Z76">
        <f ca="1">IFERROR(IF(0=LEN(ReferenceData!$Z$76),"",ReferenceData!$Z$76),"")</f>
        <v>0</v>
      </c>
      <c r="AA76">
        <f ca="1">IFERROR(IF(0=LEN(ReferenceData!$AA$76),"",ReferenceData!$AA$76),"")</f>
        <v>0</v>
      </c>
      <c r="AB76">
        <f ca="1">IFERROR(IF(0=LEN(ReferenceData!$AB$76),"",ReferenceData!$AB$76),"")</f>
        <v>0</v>
      </c>
      <c r="AC76">
        <f ca="1">IFERROR(IF(0=LEN(ReferenceData!$AC$76),"",ReferenceData!$AC$76),"")</f>
        <v>0</v>
      </c>
      <c r="AD76">
        <f ca="1">IFERROR(IF(0=LEN(ReferenceData!$AD$76),"",ReferenceData!$AD$76),"")</f>
        <v>0</v>
      </c>
      <c r="AE76">
        <f ca="1">IFERROR(IF(0=LEN(ReferenceData!$AE$76),"",ReferenceData!$AE$76),"")</f>
        <v>0</v>
      </c>
      <c r="AF76">
        <f ca="1">IFERROR(IF(0=LEN(ReferenceData!$AF$76),"",ReferenceData!$AF$76),"")</f>
        <v>0</v>
      </c>
      <c r="AG76">
        <f ca="1">IFERROR(IF(0=LEN(ReferenceData!$AG$76),"",ReferenceData!$AG$76),"")</f>
        <v>0</v>
      </c>
      <c r="AH76">
        <f ca="1">IFERROR(IF(0=LEN(ReferenceData!$AH$76),"",ReferenceData!$AH$76),"")</f>
        <v>0</v>
      </c>
      <c r="AI76">
        <f ca="1">IFERROR(IF(0=LEN(ReferenceData!$AI$76),"",ReferenceData!$AI$76),"")</f>
        <v>0</v>
      </c>
      <c r="AJ76">
        <f ca="1">IFERROR(IF(0=LEN(ReferenceData!$AJ$76),"",ReferenceData!$AJ$76),"")</f>
        <v>0</v>
      </c>
      <c r="AK76">
        <f ca="1">IFERROR(IF(0=LEN(ReferenceData!$AK$76),"",ReferenceData!$AK$76),"")</f>
        <v>0</v>
      </c>
      <c r="AL76">
        <f ca="1">IFERROR(IF(0=LEN(ReferenceData!$AL$76),"",ReferenceData!$AL$76),"")</f>
        <v>0</v>
      </c>
      <c r="AM76">
        <f ca="1">IFERROR(IF(0=LEN(ReferenceData!$AM$76),"",ReferenceData!$AM$76),"")</f>
        <v>0</v>
      </c>
      <c r="AN76">
        <f ca="1">IFERROR(IF(0=LEN(ReferenceData!$AN$76),"",ReferenceData!$AN$76),"")</f>
        <v>0</v>
      </c>
      <c r="AO76">
        <f ca="1">IFERROR(IF(0=LEN(ReferenceData!$AO$76),"",ReferenceData!$AO$76),"")</f>
        <v>0</v>
      </c>
      <c r="AP76">
        <f ca="1">IFERROR(IF(0=LEN(ReferenceData!$AP$76),"",ReferenceData!$AP$76),"")</f>
        <v>0</v>
      </c>
      <c r="AQ76">
        <f ca="1">IFERROR(IF(0=LEN(ReferenceData!$AQ$76),"",ReferenceData!$AQ$76),"")</f>
        <v>0</v>
      </c>
      <c r="AR76">
        <f ca="1">IFERROR(IF(0=LEN(ReferenceData!$AR$76),"",ReferenceData!$AR$76),"")</f>
        <v>0</v>
      </c>
      <c r="AS76">
        <f ca="1">IFERROR(IF(0=LEN(ReferenceData!$AS$76),"",ReferenceData!$AS$76),"")</f>
        <v>0</v>
      </c>
      <c r="AT76">
        <f ca="1">IFERROR(IF(0=LEN(ReferenceData!$AT$76),"",ReferenceData!$AT$76),"")</f>
        <v>0</v>
      </c>
      <c r="AU76">
        <f ca="1">IFERROR(IF(0=LEN(ReferenceData!$AU$76),"",ReferenceData!$AU$76),"")</f>
        <v>0</v>
      </c>
      <c r="AV76">
        <f ca="1">IFERROR(IF(0=LEN(ReferenceData!$AV$76),"",ReferenceData!$AV$76),"")</f>
        <v>0</v>
      </c>
      <c r="AW76">
        <f ca="1">IFERROR(IF(0=LEN(ReferenceData!$AW$76),"",ReferenceData!$AW$76),"")</f>
        <v>0</v>
      </c>
      <c r="AX76">
        <f ca="1">IFERROR(IF(0=LEN(ReferenceData!$AX$76),"",ReferenceData!$AX$76),"")</f>
        <v>0</v>
      </c>
      <c r="AY76">
        <f ca="1">IFERROR(IF(0=LEN(ReferenceData!$AY$76),"",ReferenceData!$AY$76),"")</f>
        <v>0</v>
      </c>
      <c r="AZ76">
        <f ca="1">IFERROR(IF(0=LEN(ReferenceData!$AZ$76),"",ReferenceData!$AZ$76),"")</f>
        <v>0</v>
      </c>
      <c r="BA76">
        <f ca="1">IFERROR(IF(0=LEN(ReferenceData!$BA$76),"",ReferenceData!$BA$76),"")</f>
        <v>0</v>
      </c>
      <c r="BB76">
        <f ca="1">IFERROR(IF(0=LEN(ReferenceData!$BB$76),"",ReferenceData!$BB$76),"")</f>
        <v>0</v>
      </c>
      <c r="BC76">
        <f ca="1">IFERROR(IF(0=LEN(ReferenceData!$BC$76),"",ReferenceData!$BC$76),"")</f>
        <v>0</v>
      </c>
      <c r="BD76">
        <f ca="1">IFERROR(IF(0=LEN(ReferenceData!$BD$76),"",ReferenceData!$BD$76),"")</f>
        <v>0</v>
      </c>
      <c r="BE76">
        <f ca="1">IFERROR(IF(0=LEN(ReferenceData!$BE$76),"",ReferenceData!$BE$76),"")</f>
        <v>0</v>
      </c>
      <c r="BF76">
        <f ca="1">IFERROR(IF(0=LEN(ReferenceData!$BF$76),"",ReferenceData!$BF$76),"")</f>
        <v>0</v>
      </c>
      <c r="BG76">
        <f ca="1">IFERROR(IF(0=LEN(ReferenceData!$BG$76),"",ReferenceData!$BG$76),"")</f>
        <v>0</v>
      </c>
      <c r="BH76">
        <f ca="1">IFERROR(IF(0=LEN(ReferenceData!$BH$76),"",ReferenceData!$BH$76),"")</f>
        <v>0</v>
      </c>
      <c r="BI76">
        <f ca="1">IFERROR(IF(0=LEN(ReferenceData!$BI$76),"",ReferenceData!$BI$76),"")</f>
        <v>0</v>
      </c>
      <c r="BJ76">
        <f ca="1">IFERROR(IF(0=LEN(ReferenceData!$BJ$76),"",ReferenceData!$BJ$76),"")</f>
        <v>0</v>
      </c>
      <c r="BK76">
        <f ca="1">IFERROR(IF(0=LEN(ReferenceData!$BK$76),"",ReferenceData!$BK$76),"")</f>
        <v>0</v>
      </c>
      <c r="BL76">
        <f ca="1">IFERROR(IF(0=LEN(ReferenceData!$BL$76),"",ReferenceData!$BL$76),"")</f>
        <v>0</v>
      </c>
      <c r="BM76" t="str">
        <f ca="1">IFERROR(IF(0=LEN(ReferenceData!$BM$76),"",ReferenceData!$BM$76),"")</f>
        <v/>
      </c>
    </row>
    <row r="77" spans="1:65" x14ac:dyDescent="0.25">
      <c r="A77" t="str">
        <f>IFERROR(IF(0=LEN(ReferenceData!$A$77),"",ReferenceData!$A$77),"")</f>
        <v xml:space="preserve">            Huntington Bancshares Inc/OH</v>
      </c>
      <c r="B77" t="str">
        <f>IFERROR(IF(0=LEN(ReferenceData!$B$77),"",ReferenceData!$B$77),"")</f>
        <v>HBAN US Equity</v>
      </c>
      <c r="C77" t="str">
        <f>IFERROR(IF(0=LEN(ReferenceData!$C$77),"",ReferenceData!$C$77),"")</f>
        <v>FC070</v>
      </c>
      <c r="D77" t="str">
        <f>IFERROR(IF(0=LEN(ReferenceData!$D$77),"",ReferenceData!$D$77),"")</f>
        <v>FDIC_TRADING_ACCT_ASSETS</v>
      </c>
      <c r="E77" t="str">
        <f>IFERROR(IF(0=LEN(ReferenceData!$E$77),"",ReferenceData!$E$77),"")</f>
        <v>Dynamic</v>
      </c>
      <c r="F77">
        <f ca="1">IFERROR(IF(0=LEN(ReferenceData!$F$77),"",ReferenceData!$F$77),"")</f>
        <v>288.964</v>
      </c>
      <c r="G77">
        <f ca="1">IFERROR(IF(0=LEN(ReferenceData!$G$77),"",ReferenceData!$G$77),"")</f>
        <v>743.89200000000005</v>
      </c>
      <c r="H77">
        <f ca="1">IFERROR(IF(0=LEN(ReferenceData!$H$77),"",ReferenceData!$H$77),"")</f>
        <v>530.01</v>
      </c>
      <c r="I77">
        <f ca="1">IFERROR(IF(0=LEN(ReferenceData!$I$77),"",ReferenceData!$I$77),"")</f>
        <v>425.52800000000002</v>
      </c>
      <c r="J77">
        <f ca="1">IFERROR(IF(0=LEN(ReferenceData!$J$77),"",ReferenceData!$J$77),"")</f>
        <v>418.46</v>
      </c>
      <c r="K77">
        <f ca="1">IFERROR(IF(0=LEN(ReferenceData!$K$77),"",ReferenceData!$K$77),"")</f>
        <v>585.553</v>
      </c>
      <c r="L77">
        <f ca="1">IFERROR(IF(0=LEN(ReferenceData!$L$77),"",ReferenceData!$L$77),"")</f>
        <v>547.03</v>
      </c>
      <c r="M77">
        <f ca="1">IFERROR(IF(0=LEN(ReferenceData!$M$77),"",ReferenceData!$M$77),"")</f>
        <v>320.65300000000002</v>
      </c>
      <c r="N77">
        <f ca="1">IFERROR(IF(0=LEN(ReferenceData!$N$77),"",ReferenceData!$N$77),"")</f>
        <v>365.54399999999998</v>
      </c>
      <c r="O77">
        <f ca="1">IFERROR(IF(0=LEN(ReferenceData!$O$77),"",ReferenceData!$O$77),"")</f>
        <v>448.87</v>
      </c>
      <c r="P77">
        <f ca="1">IFERROR(IF(0=LEN(ReferenceData!$P$77),"",ReferenceData!$P$77),"")</f>
        <v>362.09800000000001</v>
      </c>
      <c r="Q77">
        <f ca="1">IFERROR(IF(0=LEN(ReferenceData!$Q$77),"",ReferenceData!$Q$77),"")</f>
        <v>581.9</v>
      </c>
      <c r="R77">
        <f ca="1">IFERROR(IF(0=LEN(ReferenceData!$R$77),"",ReferenceData!$R$77),"")</f>
        <v>641.38599999999997</v>
      </c>
      <c r="S77">
        <f ca="1">IFERROR(IF(0=LEN(ReferenceData!$S$77),"",ReferenceData!$S$77),"")</f>
        <v>959.62599999999998</v>
      </c>
      <c r="T77">
        <f ca="1">IFERROR(IF(0=LEN(ReferenceData!$T$77),"",ReferenceData!$T$77),"")</f>
        <v>1018.497</v>
      </c>
      <c r="U77">
        <f ca="1">IFERROR(IF(0=LEN(ReferenceData!$U$77),"",ReferenceData!$U$77),"")</f>
        <v>1023.41</v>
      </c>
      <c r="V77">
        <f ca="1">IFERROR(IF(0=LEN(ReferenceData!$V$77),"",ReferenceData!$V$77),"")</f>
        <v>1119.386</v>
      </c>
      <c r="W77">
        <f ca="1">IFERROR(IF(0=LEN(ReferenceData!$W$77),"",ReferenceData!$W$77),"")</f>
        <v>1132.4849999999999</v>
      </c>
      <c r="X77">
        <f ca="1">IFERROR(IF(0=LEN(ReferenceData!$X$77),"",ReferenceData!$X$77),"")</f>
        <v>1129.0050000000001</v>
      </c>
      <c r="Y77">
        <f ca="1">IFERROR(IF(0=LEN(ReferenceData!$Y$77),"",ReferenceData!$Y$77),"")</f>
        <v>1098.5250000000001</v>
      </c>
      <c r="Z77">
        <f ca="1">IFERROR(IF(0=LEN(ReferenceData!$Z$77),"",ReferenceData!$Z$77),"")</f>
        <v>544.94100000000003</v>
      </c>
      <c r="AA77">
        <f ca="1">IFERROR(IF(0=LEN(ReferenceData!$AA$77),"",ReferenceData!$AA$77),"")</f>
        <v>685.072</v>
      </c>
      <c r="AB77">
        <f ca="1">IFERROR(IF(0=LEN(ReferenceData!$AB$77),"",ReferenceData!$AB$77),"")</f>
        <v>604.07899999999995</v>
      </c>
      <c r="AC77">
        <f ca="1">IFERROR(IF(0=LEN(ReferenceData!$AC$77),"",ReferenceData!$AC$77),"")</f>
        <v>418.36500000000001</v>
      </c>
      <c r="AD77">
        <f ca="1">IFERROR(IF(0=LEN(ReferenceData!$AD$77),"",ReferenceData!$AD$77),"")</f>
        <v>303.488</v>
      </c>
      <c r="AE77">
        <f ca="1">IFERROR(IF(0=LEN(ReferenceData!$AE$77),"",ReferenceData!$AE$77),"")</f>
        <v>247.97200000000001</v>
      </c>
      <c r="AF77">
        <f ca="1">IFERROR(IF(0=LEN(ReferenceData!$AF$77),"",ReferenceData!$AF$77),"")</f>
        <v>251.53100000000001</v>
      </c>
      <c r="AG77">
        <f ca="1">IFERROR(IF(0=LEN(ReferenceData!$AG$77),"",ReferenceData!$AG$77),"")</f>
        <v>168.89699999999999</v>
      </c>
      <c r="AH77">
        <f ca="1">IFERROR(IF(0=LEN(ReferenceData!$AH$77),"",ReferenceData!$AH$77),"")</f>
        <v>214.47200000000001</v>
      </c>
      <c r="AI77">
        <f ca="1">IFERROR(IF(0=LEN(ReferenceData!$AI$77),"",ReferenceData!$AI$77),"")</f>
        <v>250.77699999999999</v>
      </c>
      <c r="AJ77">
        <f ca="1">IFERROR(IF(0=LEN(ReferenceData!$AJ$77),"",ReferenceData!$AJ$77),"")</f>
        <v>269.79199999999997</v>
      </c>
      <c r="AK77">
        <f ca="1">IFERROR(IF(0=LEN(ReferenceData!$AK$77),"",ReferenceData!$AK$77),"")</f>
        <v>270.14100000000002</v>
      </c>
      <c r="AL77">
        <f ca="1">IFERROR(IF(0=LEN(ReferenceData!$AL$77),"",ReferenceData!$AL$77),"")</f>
        <v>360.08100000000002</v>
      </c>
      <c r="AM77">
        <f ca="1">IFERROR(IF(0=LEN(ReferenceData!$AM$77),"",ReferenceData!$AM$77),"")</f>
        <v>445.51499999999999</v>
      </c>
      <c r="AN77">
        <f ca="1">IFERROR(IF(0=LEN(ReferenceData!$AN$77),"",ReferenceData!$AN$77),"")</f>
        <v>409.22899999999998</v>
      </c>
      <c r="AO77">
        <f ca="1">IFERROR(IF(0=LEN(ReferenceData!$AO$77),"",ReferenceData!$AO$77),"")</f>
        <v>378.76400000000001</v>
      </c>
      <c r="AP77">
        <f ca="1">IFERROR(IF(0=LEN(ReferenceData!$AP$77),"",ReferenceData!$AP$77),"")</f>
        <v>287.702</v>
      </c>
      <c r="AQ77">
        <f ca="1">IFERROR(IF(0=LEN(ReferenceData!$AQ$77),"",ReferenceData!$AQ$77),"")</f>
        <v>344.14100000000002</v>
      </c>
      <c r="AR77">
        <f ca="1">IFERROR(IF(0=LEN(ReferenceData!$AR$77),"",ReferenceData!$AR$77),"")</f>
        <v>282.113</v>
      </c>
      <c r="AS77">
        <f ca="1">IFERROR(IF(0=LEN(ReferenceData!$AS$77),"",ReferenceData!$AS$77),"")</f>
        <v>325.154</v>
      </c>
      <c r="AT77">
        <f ca="1">IFERROR(IF(0=LEN(ReferenceData!$AT$77),"",ReferenceData!$AT$77),"")</f>
        <v>271.48099999999999</v>
      </c>
      <c r="AU77">
        <f ca="1">IFERROR(IF(0=LEN(ReferenceData!$AU$77),"",ReferenceData!$AU$77),"")</f>
        <v>269.02</v>
      </c>
      <c r="AV77">
        <f ca="1">IFERROR(IF(0=LEN(ReferenceData!$AV$77),"",ReferenceData!$AV$77),"")</f>
        <v>262.303</v>
      </c>
      <c r="AW77">
        <f ca="1">IFERROR(IF(0=LEN(ReferenceData!$AW$77),"",ReferenceData!$AW$77),"")</f>
        <v>260.67099999999999</v>
      </c>
      <c r="AX77">
        <f ca="1">IFERROR(IF(0=LEN(ReferenceData!$AX$77),"",ReferenceData!$AX$77),"")</f>
        <v>230.58600000000001</v>
      </c>
      <c r="AY77">
        <f ca="1">IFERROR(IF(0=LEN(ReferenceData!$AY$77),"",ReferenceData!$AY$77),"")</f>
        <v>281.923</v>
      </c>
      <c r="AZ77">
        <f ca="1">IFERROR(IF(0=LEN(ReferenceData!$AZ$77),"",ReferenceData!$AZ$77),"")</f>
        <v>328.94299999999998</v>
      </c>
      <c r="BA77">
        <f ca="1">IFERROR(IF(0=LEN(ReferenceData!$BA$77),"",ReferenceData!$BA$77),"")</f>
        <v>368.45299999999997</v>
      </c>
      <c r="BB77">
        <f ca="1">IFERROR(IF(0=LEN(ReferenceData!$BB$77),"",ReferenceData!$BB$77),"")</f>
        <v>406.84899999999999</v>
      </c>
      <c r="BC77">
        <f ca="1">IFERROR(IF(0=LEN(ReferenceData!$BC$77),"",ReferenceData!$BC$77),"")</f>
        <v>435.19</v>
      </c>
      <c r="BD77">
        <f ca="1">IFERROR(IF(0=LEN(ReferenceData!$BD$77),"",ReferenceData!$BD$77),"")</f>
        <v>384.63200000000001</v>
      </c>
      <c r="BE77">
        <f ca="1">IFERROR(IF(0=LEN(ReferenceData!$BE$77),"",ReferenceData!$BE$77),"")</f>
        <v>348.18799999999999</v>
      </c>
      <c r="BF77">
        <f ca="1">IFERROR(IF(0=LEN(ReferenceData!$BF$77),"",ReferenceData!$BF$77),"")</f>
        <v>354.32799999999997</v>
      </c>
      <c r="BG77">
        <f ca="1">IFERROR(IF(0=LEN(ReferenceData!$BG$77),"",ReferenceData!$BG$77),"")</f>
        <v>411.26900000000001</v>
      </c>
      <c r="BH77">
        <f ca="1">IFERROR(IF(0=LEN(ReferenceData!$BH$77),"",ReferenceData!$BH$77),"")</f>
        <v>351.52300000000002</v>
      </c>
      <c r="BI77">
        <f ca="1">IFERROR(IF(0=LEN(ReferenceData!$BI$77),"",ReferenceData!$BI$77),"")</f>
        <v>389.286</v>
      </c>
      <c r="BJ77">
        <f ca="1">IFERROR(IF(0=LEN(ReferenceData!$BJ$77),"",ReferenceData!$BJ$77),"")</f>
        <v>448.42</v>
      </c>
      <c r="BK77">
        <f ca="1">IFERROR(IF(0=LEN(ReferenceData!$BK$77),"",ReferenceData!$BK$77),"")</f>
        <v>496.416</v>
      </c>
      <c r="BL77">
        <f ca="1">IFERROR(IF(0=LEN(ReferenceData!$BL$77),"",ReferenceData!$BL$77),"")</f>
        <v>441.62400000000002</v>
      </c>
      <c r="BM77" t="str">
        <f ca="1">IFERROR(IF(0=LEN(ReferenceData!$BM$77),"",ReferenceData!$BM$77),"")</f>
        <v/>
      </c>
    </row>
    <row r="78" spans="1:65" x14ac:dyDescent="0.25">
      <c r="A78" t="str">
        <f>IFERROR(IF(0=LEN(ReferenceData!$A$78),"",ReferenceData!$A$78),"")</f>
        <v xml:space="preserve">            JPMorgan Chase &amp; Co</v>
      </c>
      <c r="B78" t="str">
        <f>IFERROR(IF(0=LEN(ReferenceData!$B$78),"",ReferenceData!$B$78),"")</f>
        <v>JPM US Equity</v>
      </c>
      <c r="C78" t="str">
        <f>IFERROR(IF(0=LEN(ReferenceData!$C$78),"",ReferenceData!$C$78),"")</f>
        <v>FC070</v>
      </c>
      <c r="D78" t="str">
        <f>IFERROR(IF(0=LEN(ReferenceData!$D$78),"",ReferenceData!$D$78),"")</f>
        <v>FDIC_TRADING_ACCT_ASSETS</v>
      </c>
      <c r="E78" t="str">
        <f>IFERROR(IF(0=LEN(ReferenceData!$E$78),"",ReferenceData!$E$78),"")</f>
        <v>Dynamic</v>
      </c>
      <c r="F78">
        <f ca="1">IFERROR(IF(0=LEN(ReferenceData!$F$78),"",ReferenceData!$F$78),"")</f>
        <v>636895</v>
      </c>
      <c r="G78">
        <f ca="1">IFERROR(IF(0=LEN(ReferenceData!$G$78),"",ReferenceData!$G$78),"")</f>
        <v>786596</v>
      </c>
      <c r="H78">
        <f ca="1">IFERROR(IF(0=LEN(ReferenceData!$H$78),"",ReferenceData!$H$78),"")</f>
        <v>733020</v>
      </c>
      <c r="I78">
        <f ca="1">IFERROR(IF(0=LEN(ReferenceData!$I$78),"",ReferenceData!$I$78),"")</f>
        <v>753569</v>
      </c>
      <c r="J78">
        <f ca="1">IFERROR(IF(0=LEN(ReferenceData!$J$78),"",ReferenceData!$J$78),"")</f>
        <v>539828</v>
      </c>
      <c r="K78">
        <f ca="1">IFERROR(IF(0=LEN(ReferenceData!$K$78),"",ReferenceData!$K$78),"")</f>
        <v>601267</v>
      </c>
      <c r="L78">
        <f ca="1">IFERROR(IF(0=LEN(ReferenceData!$L$78),"",ReferenceData!$L$78),"")</f>
        <v>636306</v>
      </c>
      <c r="M78">
        <f ca="1">IFERROR(IF(0=LEN(ReferenceData!$M$78),"",ReferenceData!$M$78),"")</f>
        <v>578152</v>
      </c>
      <c r="N78">
        <f ca="1">IFERROR(IF(0=LEN(ReferenceData!$N$78),"",ReferenceData!$N$78),"")</f>
        <v>452945</v>
      </c>
      <c r="O78">
        <f ca="1">IFERROR(IF(0=LEN(ReferenceData!$O$78),"",ReferenceData!$O$78),"")</f>
        <v>505619</v>
      </c>
      <c r="P78">
        <f ca="1">IFERROR(IF(0=LEN(ReferenceData!$P$78),"",ReferenceData!$P$78),"")</f>
        <v>464804</v>
      </c>
      <c r="Q78">
        <f ca="1">IFERROR(IF(0=LEN(ReferenceData!$Q$78),"",ReferenceData!$Q$78),"")</f>
        <v>510759</v>
      </c>
      <c r="R78">
        <f ca="1">IFERROR(IF(0=LEN(ReferenceData!$R$78),"",ReferenceData!$R$78),"")</f>
        <v>432705</v>
      </c>
      <c r="S78">
        <f ca="1">IFERROR(IF(0=LEN(ReferenceData!$S$78),"",ReferenceData!$S$78),"")</f>
        <v>514632</v>
      </c>
      <c r="T78">
        <f ca="1">IFERROR(IF(0=LEN(ReferenceData!$T$78),"",ReferenceData!$T$78),"")</f>
        <v>520090</v>
      </c>
      <c r="U78">
        <f ca="1">IFERROR(IF(0=LEN(ReferenceData!$U$78),"",ReferenceData!$U$78),"")</f>
        <v>543551</v>
      </c>
      <c r="V78">
        <f ca="1">IFERROR(IF(0=LEN(ReferenceData!$V$78),"",ReferenceData!$V$78),"")</f>
        <v>502399</v>
      </c>
      <c r="W78">
        <f ca="1">IFERROR(IF(0=LEN(ReferenceData!$W$78),"",ReferenceData!$W$78),"")</f>
        <v>504604</v>
      </c>
      <c r="X78">
        <f ca="1">IFERROR(IF(0=LEN(ReferenceData!$X$78),"",ReferenceData!$X$78),"")</f>
        <v>524920</v>
      </c>
      <c r="Y78">
        <f ca="1">IFERROR(IF(0=LEN(ReferenceData!$Y$78),"",ReferenceData!$Y$78),"")</f>
        <v>547862</v>
      </c>
      <c r="Z78">
        <f ca="1">IFERROR(IF(0=LEN(ReferenceData!$Z$78),"",ReferenceData!$Z$78),"")</f>
        <v>410892</v>
      </c>
      <c r="AA78">
        <f ca="1">IFERROR(IF(0=LEN(ReferenceData!$AA$78),"",ReferenceData!$AA$78),"")</f>
        <v>495649</v>
      </c>
      <c r="AB78">
        <f ca="1">IFERROR(IF(0=LEN(ReferenceData!$AB$78),"",ReferenceData!$AB$78),"")</f>
        <v>523171</v>
      </c>
      <c r="AC78">
        <f ca="1">IFERROR(IF(0=LEN(ReferenceData!$AC$78),"",ReferenceData!$AC$78),"")</f>
        <v>533240</v>
      </c>
      <c r="AD78">
        <f ca="1">IFERROR(IF(0=LEN(ReferenceData!$AD$78),"",ReferenceData!$AD$78),"")</f>
        <v>413541</v>
      </c>
      <c r="AE78">
        <f ca="1">IFERROR(IF(0=LEN(ReferenceData!$AE$78),"",ReferenceData!$AE$78),"")</f>
        <v>419681</v>
      </c>
      <c r="AF78">
        <f ca="1">IFERROR(IF(0=LEN(ReferenceData!$AF$78),"",ReferenceData!$AF$78),"")</f>
        <v>418655</v>
      </c>
      <c r="AG78">
        <f ca="1">IFERROR(IF(0=LEN(ReferenceData!$AG$78),"",ReferenceData!$AG$78),"")</f>
        <v>411999</v>
      </c>
      <c r="AH78">
        <f ca="1">IFERROR(IF(0=LEN(ReferenceData!$AH$78),"",ReferenceData!$AH$78),"")</f>
        <v>381515</v>
      </c>
      <c r="AI78">
        <f ca="1">IFERROR(IF(0=LEN(ReferenceData!$AI$78),"",ReferenceData!$AI$78),"")</f>
        <v>420052</v>
      </c>
      <c r="AJ78">
        <f ca="1">IFERROR(IF(0=LEN(ReferenceData!$AJ$78),"",ReferenceData!$AJ$78),"")</f>
        <v>406722</v>
      </c>
      <c r="AK78">
        <f ca="1">IFERROR(IF(0=LEN(ReferenceData!$AK$78),"",ReferenceData!$AK$78),"")</f>
        <v>402216</v>
      </c>
      <c r="AL78">
        <f ca="1">IFERROR(IF(0=LEN(ReferenceData!$AL$78),"",ReferenceData!$AL$78),"")</f>
        <v>371794</v>
      </c>
      <c r="AM78">
        <f ca="1">IFERROR(IF(0=LEN(ReferenceData!$AM$78),"",ReferenceData!$AM$78),"")</f>
        <v>374381</v>
      </c>
      <c r="AN78">
        <f ca="1">IFERROR(IF(0=LEN(ReferenceData!$AN$78),"",ReferenceData!$AN$78),"")</f>
        <v>380256</v>
      </c>
      <c r="AO78">
        <f ca="1">IFERROR(IF(0=LEN(ReferenceData!$AO$78),"",ReferenceData!$AO$78),"")</f>
        <v>365741</v>
      </c>
      <c r="AP78">
        <f ca="1">IFERROR(IF(0=LEN(ReferenceData!$AP$78),"",ReferenceData!$AP$78),"")</f>
        <v>343545</v>
      </c>
      <c r="AQ78">
        <f ca="1">IFERROR(IF(0=LEN(ReferenceData!$AQ$78),"",ReferenceData!$AQ$78),"")</f>
        <v>361704</v>
      </c>
      <c r="AR78">
        <f ca="1">IFERROR(IF(0=LEN(ReferenceData!$AR$78),"",ReferenceData!$AR$78),"")</f>
        <v>376262</v>
      </c>
      <c r="AS78">
        <f ca="1">IFERROR(IF(0=LEN(ReferenceData!$AS$78),"",ReferenceData!$AS$78),"")</f>
        <v>398977</v>
      </c>
      <c r="AT78">
        <f ca="1">IFERROR(IF(0=LEN(ReferenceData!$AT$78),"",ReferenceData!$AT$78),"")</f>
        <v>398987</v>
      </c>
      <c r="AU78">
        <f ca="1">IFERROR(IF(0=LEN(ReferenceData!$AU$78),"",ReferenceData!$AU$78),"")</f>
        <v>410650</v>
      </c>
      <c r="AV78">
        <f ca="1">IFERROR(IF(0=LEN(ReferenceData!$AV$78),"",ReferenceData!$AV$78),"")</f>
        <v>392522</v>
      </c>
      <c r="AW78">
        <f ca="1">IFERROR(IF(0=LEN(ReferenceData!$AW$78),"",ReferenceData!$AW$78),"")</f>
        <v>375191</v>
      </c>
      <c r="AX78">
        <f ca="1">IFERROR(IF(0=LEN(ReferenceData!$AX$78),"",ReferenceData!$AX$78),"")</f>
        <v>374636</v>
      </c>
      <c r="AY78">
        <f ca="1">IFERROR(IF(0=LEN(ReferenceData!$AY$78),"",ReferenceData!$AY$78),"")</f>
        <v>383320</v>
      </c>
      <c r="AZ78">
        <f ca="1">IFERROR(IF(0=LEN(ReferenceData!$AZ$78),"",ReferenceData!$AZ$78),"")</f>
        <v>401366</v>
      </c>
      <c r="BA78">
        <f ca="1">IFERROR(IF(0=LEN(ReferenceData!$BA$78),"",ReferenceData!$BA$78),"")</f>
        <v>430931</v>
      </c>
      <c r="BB78">
        <f ca="1">IFERROR(IF(0=LEN(ReferenceData!$BB$78),"",ReferenceData!$BB$78),"")</f>
        <v>449226</v>
      </c>
      <c r="BC78">
        <f ca="1">IFERROR(IF(0=LEN(ReferenceData!$BC$78),"",ReferenceData!$BC$78),"")</f>
        <v>445456</v>
      </c>
      <c r="BD78">
        <f ca="1">IFERROR(IF(0=LEN(ReferenceData!$BD$78),"",ReferenceData!$BD$78),"")</f>
        <v>414665</v>
      </c>
      <c r="BE78">
        <f ca="1">IFERROR(IF(0=LEN(ReferenceData!$BE$78),"",ReferenceData!$BE$78),"")</f>
        <v>453761</v>
      </c>
      <c r="BF78">
        <f ca="1">IFERROR(IF(0=LEN(ReferenceData!$BF$78),"",ReferenceData!$BF$78),"")</f>
        <v>441033</v>
      </c>
      <c r="BG78">
        <f ca="1">IFERROR(IF(0=LEN(ReferenceData!$BG$78),"",ReferenceData!$BG$78),"")</f>
        <v>458671</v>
      </c>
      <c r="BH78">
        <f ca="1">IFERROR(IF(0=LEN(ReferenceData!$BH$78),"",ReferenceData!$BH$78),"")</f>
        <v>457884</v>
      </c>
      <c r="BI78">
        <f ca="1">IFERROR(IF(0=LEN(ReferenceData!$BI$78),"",ReferenceData!$BI$78),"")</f>
        <v>500089</v>
      </c>
      <c r="BJ78">
        <f ca="1">IFERROR(IF(0=LEN(ReferenceData!$BJ$78),"",ReferenceData!$BJ$78),"")</f>
        <v>489892</v>
      </c>
      <c r="BK78">
        <f ca="1">IFERROR(IF(0=LEN(ReferenceData!$BK$78),"",ReferenceData!$BK$78),"")</f>
        <v>475515</v>
      </c>
      <c r="BL78">
        <f ca="1">IFERROR(IF(0=LEN(ReferenceData!$BL$78),"",ReferenceData!$BL$78),"")</f>
        <v>397508</v>
      </c>
      <c r="BM78" t="str">
        <f ca="1">IFERROR(IF(0=LEN(ReferenceData!$BM$78),"",ReferenceData!$BM$78),"")</f>
        <v/>
      </c>
    </row>
    <row r="79" spans="1:65" x14ac:dyDescent="0.25">
      <c r="A79" t="str">
        <f>IFERROR(IF(0=LEN(ReferenceData!$A$79),"",ReferenceData!$A$79),"")</f>
        <v xml:space="preserve">            KeyCorp</v>
      </c>
      <c r="B79" t="str">
        <f>IFERROR(IF(0=LEN(ReferenceData!$B$79),"",ReferenceData!$B$79),"")</f>
        <v>KEY US Equity</v>
      </c>
      <c r="C79" t="str">
        <f>IFERROR(IF(0=LEN(ReferenceData!$C$79),"",ReferenceData!$C$79),"")</f>
        <v>FC070</v>
      </c>
      <c r="D79" t="str">
        <f>IFERROR(IF(0=LEN(ReferenceData!$D$79),"",ReferenceData!$D$79),"")</f>
        <v>FDIC_TRADING_ACCT_ASSETS</v>
      </c>
      <c r="E79" t="str">
        <f>IFERROR(IF(0=LEN(ReferenceData!$E$79),"",ReferenceData!$E$79),"")</f>
        <v>Dynamic</v>
      </c>
      <c r="F79">
        <f ca="1">IFERROR(IF(0=LEN(ReferenceData!$F$79),"",ReferenceData!$F$79),"")</f>
        <v>1537.377</v>
      </c>
      <c r="G79">
        <f ca="1">IFERROR(IF(0=LEN(ReferenceData!$G$79),"",ReferenceData!$G$79),"")</f>
        <v>1615.8789999999999</v>
      </c>
      <c r="H79">
        <f ca="1">IFERROR(IF(0=LEN(ReferenceData!$H$79),"",ReferenceData!$H$79),"")</f>
        <v>1443.2909999999999</v>
      </c>
      <c r="I79">
        <f ca="1">IFERROR(IF(0=LEN(ReferenceData!$I$79),"",ReferenceData!$I$79),"")</f>
        <v>1376.277</v>
      </c>
      <c r="J79">
        <f ca="1">IFERROR(IF(0=LEN(ReferenceData!$J$79),"",ReferenceData!$J$79),"")</f>
        <v>1309.194</v>
      </c>
      <c r="K79">
        <f ca="1">IFERROR(IF(0=LEN(ReferenceData!$K$79),"",ReferenceData!$K$79),"")</f>
        <v>1729.203</v>
      </c>
      <c r="L79">
        <f ca="1">IFERROR(IF(0=LEN(ReferenceData!$L$79),"",ReferenceData!$L$79),"")</f>
        <v>1427.58</v>
      </c>
      <c r="M79">
        <f ca="1">IFERROR(IF(0=LEN(ReferenceData!$M$79),"",ReferenceData!$M$79),"")</f>
        <v>1498.8150000000001</v>
      </c>
      <c r="N79">
        <f ca="1">IFERROR(IF(0=LEN(ReferenceData!$N$79),"",ReferenceData!$N$79),"")</f>
        <v>1755.36</v>
      </c>
      <c r="O79">
        <f ca="1">IFERROR(IF(0=LEN(ReferenceData!$O$79),"",ReferenceData!$O$79),"")</f>
        <v>2603.86</v>
      </c>
      <c r="P79">
        <f ca="1">IFERROR(IF(0=LEN(ReferenceData!$P$79),"",ReferenceData!$P$79),"")</f>
        <v>3387.8470000000002</v>
      </c>
      <c r="Q79">
        <f ca="1">IFERROR(IF(0=LEN(ReferenceData!$Q$79),"",ReferenceData!$Q$79),"")</f>
        <v>3487.48</v>
      </c>
      <c r="R79">
        <f ca="1">IFERROR(IF(0=LEN(ReferenceData!$R$79),"",ReferenceData!$R$79),"")</f>
        <v>2588.0659999999998</v>
      </c>
      <c r="S79">
        <f ca="1">IFERROR(IF(0=LEN(ReferenceData!$S$79),"",ReferenceData!$S$79),"")</f>
        <v>3370.9650000000001</v>
      </c>
      <c r="T79">
        <f ca="1">IFERROR(IF(0=LEN(ReferenceData!$T$79),"",ReferenceData!$T$79),"")</f>
        <v>2914.9450000000002</v>
      </c>
      <c r="U79">
        <f ca="1">IFERROR(IF(0=LEN(ReferenceData!$U$79),"",ReferenceData!$U$79),"")</f>
        <v>2232.7890000000002</v>
      </c>
      <c r="V79">
        <f ca="1">IFERROR(IF(0=LEN(ReferenceData!$V$79),"",ReferenceData!$V$79),"")</f>
        <v>2410.788</v>
      </c>
      <c r="W79">
        <f ca="1">IFERROR(IF(0=LEN(ReferenceData!$W$79),"",ReferenceData!$W$79),"")</f>
        <v>2574.203</v>
      </c>
      <c r="X79">
        <f ca="1">IFERROR(IF(0=LEN(ReferenceData!$X$79),"",ReferenceData!$X$79),"")</f>
        <v>2618.8429999999998</v>
      </c>
      <c r="Y79">
        <f ca="1">IFERROR(IF(0=LEN(ReferenceData!$Y$79),"",ReferenceData!$Y$79),"")</f>
        <v>2802.527</v>
      </c>
      <c r="Z79">
        <f ca="1">IFERROR(IF(0=LEN(ReferenceData!$Z$79),"",ReferenceData!$Z$79),"")</f>
        <v>1754.6880000000001</v>
      </c>
      <c r="AA79">
        <f ca="1">IFERROR(IF(0=LEN(ReferenceData!$AA$79),"",ReferenceData!$AA$79),"")</f>
        <v>1990.943</v>
      </c>
      <c r="AB79">
        <f ca="1">IFERROR(IF(0=LEN(ReferenceData!$AB$79),"",ReferenceData!$AB$79),"")</f>
        <v>1719.268</v>
      </c>
      <c r="AC79">
        <f ca="1">IFERROR(IF(0=LEN(ReferenceData!$AC$79),"",ReferenceData!$AC$79),"")</f>
        <v>1468.2539999999999</v>
      </c>
      <c r="AD79">
        <f ca="1">IFERROR(IF(0=LEN(ReferenceData!$AD$79),"",ReferenceData!$AD$79),"")</f>
        <v>1311.1880000000001</v>
      </c>
      <c r="AE79">
        <f ca="1">IFERROR(IF(0=LEN(ReferenceData!$AE$79),"",ReferenceData!$AE$79),"")</f>
        <v>1658.1579999999999</v>
      </c>
      <c r="AF79">
        <f ca="1">IFERROR(IF(0=LEN(ReferenceData!$AF$79),"",ReferenceData!$AF$79),"")</f>
        <v>1523.9580000000001</v>
      </c>
      <c r="AG79">
        <f ca="1">IFERROR(IF(0=LEN(ReferenceData!$AG$79),"",ReferenceData!$AG$79),"")</f>
        <v>1371.383</v>
      </c>
      <c r="AH79">
        <f ca="1">IFERROR(IF(0=LEN(ReferenceData!$AH$79),"",ReferenceData!$AH$79),"")</f>
        <v>1517.19</v>
      </c>
      <c r="AI79">
        <f ca="1">IFERROR(IF(0=LEN(ReferenceData!$AI$79),"",ReferenceData!$AI$79),"")</f>
        <v>1380.962</v>
      </c>
      <c r="AJ79">
        <f ca="1">IFERROR(IF(0=LEN(ReferenceData!$AJ$79),"",ReferenceData!$AJ$79),"")</f>
        <v>1689.4559999999999</v>
      </c>
      <c r="AK79">
        <f ca="1">IFERROR(IF(0=LEN(ReferenceData!$AK$79),"",ReferenceData!$AK$79),"")</f>
        <v>1472.067</v>
      </c>
      <c r="AL79">
        <f ca="1">IFERROR(IF(0=LEN(ReferenceData!$AL$79),"",ReferenceData!$AL$79),"")</f>
        <v>1585.1079999999999</v>
      </c>
      <c r="AM79">
        <f ca="1">IFERROR(IF(0=LEN(ReferenceData!$AM$79),"",ReferenceData!$AM$79),"")</f>
        <v>1938.3009999999999</v>
      </c>
      <c r="AN79">
        <f ca="1">IFERROR(IF(0=LEN(ReferenceData!$AN$79),"",ReferenceData!$AN$79),"")</f>
        <v>1801.1089999999999</v>
      </c>
      <c r="AO79">
        <f ca="1">IFERROR(IF(0=LEN(ReferenceData!$AO$79),"",ReferenceData!$AO$79),"")</f>
        <v>1553.586</v>
      </c>
      <c r="AP79">
        <f ca="1">IFERROR(IF(0=LEN(ReferenceData!$AP$79),"",ReferenceData!$AP$79),"")</f>
        <v>1340.5440000000001</v>
      </c>
      <c r="AQ79">
        <f ca="1">IFERROR(IF(0=LEN(ReferenceData!$AQ$79),"",ReferenceData!$AQ$79),"")</f>
        <v>1446.1559999999999</v>
      </c>
      <c r="AR79">
        <f ca="1">IFERROR(IF(0=LEN(ReferenceData!$AR$79),"",ReferenceData!$AR$79),"")</f>
        <v>1134.106</v>
      </c>
      <c r="AS79">
        <f ca="1">IFERROR(IF(0=LEN(ReferenceData!$AS$79),"",ReferenceData!$AS$79),"")</f>
        <v>1426.5719999999999</v>
      </c>
      <c r="AT79">
        <f ca="1">IFERROR(IF(0=LEN(ReferenceData!$AT$79),"",ReferenceData!$AT$79),"")</f>
        <v>1305.135</v>
      </c>
      <c r="AU79">
        <f ca="1">IFERROR(IF(0=LEN(ReferenceData!$AU$79),"",ReferenceData!$AU$79),"")</f>
        <v>1312.1690000000001</v>
      </c>
      <c r="AV79">
        <f ca="1">IFERROR(IF(0=LEN(ReferenceData!$AV$79),"",ReferenceData!$AV$79),"")</f>
        <v>1348.7670000000001</v>
      </c>
      <c r="AW79">
        <f ca="1">IFERROR(IF(0=LEN(ReferenceData!$AW$79),"",ReferenceData!$AW$79),"")</f>
        <v>1187.778</v>
      </c>
      <c r="AX79">
        <f ca="1">IFERROR(IF(0=LEN(ReferenceData!$AX$79),"",ReferenceData!$AX$79),"")</f>
        <v>1052.931</v>
      </c>
      <c r="AY79">
        <f ca="1">IFERROR(IF(0=LEN(ReferenceData!$AY$79),"",ReferenceData!$AY$79),"")</f>
        <v>1178.075</v>
      </c>
      <c r="AZ79">
        <f ca="1">IFERROR(IF(0=LEN(ReferenceData!$AZ$79),"",ReferenceData!$AZ$79),"")</f>
        <v>938.11400000000003</v>
      </c>
      <c r="BA79">
        <f ca="1">IFERROR(IF(0=LEN(ReferenceData!$BA$79),"",ReferenceData!$BA$79),"")</f>
        <v>1173.2470000000001</v>
      </c>
      <c r="BB79">
        <f ca="1">IFERROR(IF(0=LEN(ReferenceData!$BB$79),"",ReferenceData!$BB$79),"")</f>
        <v>1138.2429999999999</v>
      </c>
      <c r="BC79">
        <f ca="1">IFERROR(IF(0=LEN(ReferenceData!$BC$79),"",ReferenceData!$BC$79),"")</f>
        <v>1264.07</v>
      </c>
      <c r="BD79">
        <f ca="1">IFERROR(IF(0=LEN(ReferenceData!$BD$79),"",ReferenceData!$BD$79),"")</f>
        <v>1314.0630000000001</v>
      </c>
      <c r="BE79">
        <f ca="1">IFERROR(IF(0=LEN(ReferenceData!$BE$79),"",ReferenceData!$BE$79),"")</f>
        <v>1263.134</v>
      </c>
      <c r="BF79">
        <f ca="1">IFERROR(IF(0=LEN(ReferenceData!$BF$79),"",ReferenceData!$BF$79),"")</f>
        <v>1354.7860000000001</v>
      </c>
      <c r="BG79">
        <f ca="1">IFERROR(IF(0=LEN(ReferenceData!$BG$79),"",ReferenceData!$BG$79),"")</f>
        <v>1442.021</v>
      </c>
      <c r="BH79">
        <f ca="1">IFERROR(IF(0=LEN(ReferenceData!$BH$79),"",ReferenceData!$BH$79),"")</f>
        <v>1443.547</v>
      </c>
      <c r="BI79">
        <f ca="1">IFERROR(IF(0=LEN(ReferenceData!$BI$79),"",ReferenceData!$BI$79),"")</f>
        <v>1843.3430000000001</v>
      </c>
      <c r="BJ79">
        <f ca="1">IFERROR(IF(0=LEN(ReferenceData!$BJ$79),"",ReferenceData!$BJ$79),"")</f>
        <v>1742.241</v>
      </c>
      <c r="BK79">
        <f ca="1">IFERROR(IF(0=LEN(ReferenceData!$BK$79),"",ReferenceData!$BK$79),"")</f>
        <v>2108.1779999999999</v>
      </c>
      <c r="BL79">
        <f ca="1">IFERROR(IF(0=LEN(ReferenceData!$BL$79),"",ReferenceData!$BL$79),"")</f>
        <v>1885.7739999999999</v>
      </c>
      <c r="BM79" t="str">
        <f ca="1">IFERROR(IF(0=LEN(ReferenceData!$BM$79),"",ReferenceData!$BM$79),"")</f>
        <v/>
      </c>
    </row>
    <row r="80" spans="1:65" x14ac:dyDescent="0.25">
      <c r="A80" t="str">
        <f>IFERROR(IF(0=LEN(ReferenceData!$A$80),"",ReferenceData!$A$80),"")</f>
        <v xml:space="preserve">            M&amp;T Bank Corp</v>
      </c>
      <c r="B80" t="str">
        <f>IFERROR(IF(0=LEN(ReferenceData!$B$80),"",ReferenceData!$B$80),"")</f>
        <v>MTB US Equity</v>
      </c>
      <c r="C80" t="str">
        <f>IFERROR(IF(0=LEN(ReferenceData!$C$80),"",ReferenceData!$C$80),"")</f>
        <v>FC070</v>
      </c>
      <c r="D80" t="str">
        <f>IFERROR(IF(0=LEN(ReferenceData!$D$80),"",ReferenceData!$D$80),"")</f>
        <v>FDIC_TRADING_ACCT_ASSETS</v>
      </c>
      <c r="E80" t="str">
        <f>IFERROR(IF(0=LEN(ReferenceData!$E$80),"",ReferenceData!$E$80),"")</f>
        <v>Dynamic</v>
      </c>
      <c r="F80">
        <f ca="1">IFERROR(IF(0=LEN(ReferenceData!$F$80),"",ReferenceData!$F$80),"")</f>
        <v>101.351</v>
      </c>
      <c r="G80">
        <f ca="1">IFERROR(IF(0=LEN(ReferenceData!$G$80),"",ReferenceData!$G$80),"")</f>
        <v>102.297</v>
      </c>
      <c r="H80">
        <f ca="1">IFERROR(IF(0=LEN(ReferenceData!$H$80),"",ReferenceData!$H$80),"")</f>
        <v>98.561000000000007</v>
      </c>
      <c r="I80">
        <f ca="1">IFERROR(IF(0=LEN(ReferenceData!$I$80),"",ReferenceData!$I$80),"")</f>
        <v>99.192999999999998</v>
      </c>
      <c r="J80">
        <f ca="1">IFERROR(IF(0=LEN(ReferenceData!$J$80),"",ReferenceData!$J$80),"")</f>
        <v>106.072</v>
      </c>
      <c r="K80">
        <f ca="1">IFERROR(IF(0=LEN(ReferenceData!$K$80),"",ReferenceData!$K$80),"")</f>
        <v>136.99799999999999</v>
      </c>
      <c r="L80">
        <f ca="1">IFERROR(IF(0=LEN(ReferenceData!$L$80),"",ReferenceData!$L$80),"")</f>
        <v>137.24</v>
      </c>
      <c r="M80">
        <f ca="1">IFERROR(IF(0=LEN(ReferenceData!$M$80),"",ReferenceData!$M$80),"")</f>
        <v>165.21600000000001</v>
      </c>
      <c r="N80">
        <f ca="1">IFERROR(IF(0=LEN(ReferenceData!$N$80),"",ReferenceData!$N$80),"")</f>
        <v>117.84699999999999</v>
      </c>
      <c r="O80">
        <f ca="1">IFERROR(IF(0=LEN(ReferenceData!$O$80),"",ReferenceData!$O$80),"")</f>
        <v>129.672</v>
      </c>
      <c r="P80">
        <f ca="1">IFERROR(IF(0=LEN(ReferenceData!$P$80),"",ReferenceData!$P$80),"")</f>
        <v>133.85499999999999</v>
      </c>
      <c r="Q80">
        <f ca="1">IFERROR(IF(0=LEN(ReferenceData!$Q$80),"",ReferenceData!$Q$80),"")</f>
        <v>197.55799999999999</v>
      </c>
      <c r="R80">
        <f ca="1">IFERROR(IF(0=LEN(ReferenceData!$R$80),"",ReferenceData!$R$80),"")</f>
        <v>468.03100000000001</v>
      </c>
      <c r="S80">
        <f ca="1">IFERROR(IF(0=LEN(ReferenceData!$S$80),"",ReferenceData!$S$80),"")</f>
        <v>624.55600000000004</v>
      </c>
      <c r="T80">
        <f ca="1">IFERROR(IF(0=LEN(ReferenceData!$T$80),"",ReferenceData!$T$80),"")</f>
        <v>712.55799999999999</v>
      </c>
      <c r="U80">
        <f ca="1">IFERROR(IF(0=LEN(ReferenceData!$U$80),"",ReferenceData!$U$80),"")</f>
        <v>687.35900000000004</v>
      </c>
      <c r="V80">
        <f ca="1">IFERROR(IF(0=LEN(ReferenceData!$V$80),"",ReferenceData!$V$80),"")</f>
        <v>1068.5809999999999</v>
      </c>
      <c r="W80">
        <f ca="1">IFERROR(IF(0=LEN(ReferenceData!$W$80),"",ReferenceData!$W$80),"")</f>
        <v>1215.5730000000001</v>
      </c>
      <c r="X80">
        <f ca="1">IFERROR(IF(0=LEN(ReferenceData!$X$80),"",ReferenceData!$X$80),"")</f>
        <v>1293.5340000000001</v>
      </c>
      <c r="Y80">
        <f ca="1">IFERROR(IF(0=LEN(ReferenceData!$Y$80),"",ReferenceData!$Y$80),"")</f>
        <v>1224.2909999999999</v>
      </c>
      <c r="Z80">
        <f ca="1">IFERROR(IF(0=LEN(ReferenceData!$Z$80),"",ReferenceData!$Z$80),"")</f>
        <v>470.12900000000002</v>
      </c>
      <c r="AA80">
        <f ca="1">IFERROR(IF(0=LEN(ReferenceData!$AA$80),"",ReferenceData!$AA$80),"")</f>
        <v>614.25599999999997</v>
      </c>
      <c r="AB80">
        <f ca="1">IFERROR(IF(0=LEN(ReferenceData!$AB$80),"",ReferenceData!$AB$80),"")</f>
        <v>479.40300000000002</v>
      </c>
      <c r="AC80">
        <f ca="1">IFERROR(IF(0=LEN(ReferenceData!$AC$80),"",ReferenceData!$AC$80),"")</f>
        <v>276.322</v>
      </c>
      <c r="AD80">
        <f ca="1">IFERROR(IF(0=LEN(ReferenceData!$AD$80),"",ReferenceData!$AD$80),"")</f>
        <v>185.584</v>
      </c>
      <c r="AE80">
        <f ca="1">IFERROR(IF(0=LEN(ReferenceData!$AE$80),"",ReferenceData!$AE$80),"")</f>
        <v>125.038</v>
      </c>
      <c r="AF80">
        <f ca="1">IFERROR(IF(0=LEN(ReferenceData!$AF$80),"",ReferenceData!$AF$80),"")</f>
        <v>148.303</v>
      </c>
      <c r="AG80">
        <f ca="1">IFERROR(IF(0=LEN(ReferenceData!$AG$80),"",ReferenceData!$AG$80),"")</f>
        <v>141.13399999999999</v>
      </c>
      <c r="AH80">
        <f ca="1">IFERROR(IF(0=LEN(ReferenceData!$AH$80),"",ReferenceData!$AH$80),"")</f>
        <v>132.90899999999999</v>
      </c>
      <c r="AI80">
        <f ca="1">IFERROR(IF(0=LEN(ReferenceData!$AI$80),"",ReferenceData!$AI$80),"")</f>
        <v>170.51599999999999</v>
      </c>
      <c r="AJ80">
        <f ca="1">IFERROR(IF(0=LEN(ReferenceData!$AJ$80),"",ReferenceData!$AJ$80),"")</f>
        <v>174.64599999999999</v>
      </c>
      <c r="AK80">
        <f ca="1">IFERROR(IF(0=LEN(ReferenceData!$AK$80),"",ReferenceData!$AK$80),"")</f>
        <v>174.85400000000001</v>
      </c>
      <c r="AL80">
        <f ca="1">IFERROR(IF(0=LEN(ReferenceData!$AL$80),"",ReferenceData!$AL$80),"")</f>
        <v>323.86700000000002</v>
      </c>
      <c r="AM80">
        <f ca="1">IFERROR(IF(0=LEN(ReferenceData!$AM$80),"",ReferenceData!$AM$80),"")</f>
        <v>488.58800000000002</v>
      </c>
      <c r="AN80">
        <f ca="1">IFERROR(IF(0=LEN(ReferenceData!$AN$80),"",ReferenceData!$AN$80),"")</f>
        <v>506.13099999999997</v>
      </c>
      <c r="AO80">
        <f ca="1">IFERROR(IF(0=LEN(ReferenceData!$AO$80),"",ReferenceData!$AO$80),"")</f>
        <v>467.98700000000002</v>
      </c>
      <c r="AP80">
        <f ca="1">IFERROR(IF(0=LEN(ReferenceData!$AP$80),"",ReferenceData!$AP$80),"")</f>
        <v>273.78300000000002</v>
      </c>
      <c r="AQ80">
        <f ca="1">IFERROR(IF(0=LEN(ReferenceData!$AQ$80),"",ReferenceData!$AQ$80),"")</f>
        <v>340.71</v>
      </c>
      <c r="AR80">
        <f ca="1">IFERROR(IF(0=LEN(ReferenceData!$AR$80),"",ReferenceData!$AR$80),"")</f>
        <v>277.00900000000001</v>
      </c>
      <c r="AS80">
        <f ca="1">IFERROR(IF(0=LEN(ReferenceData!$AS$80),"",ReferenceData!$AS$80),"")</f>
        <v>363.08499999999998</v>
      </c>
      <c r="AT80">
        <f ca="1">IFERROR(IF(0=LEN(ReferenceData!$AT$80),"",ReferenceData!$AT$80),"")</f>
        <v>308.17500000000001</v>
      </c>
      <c r="AU80">
        <f ca="1">IFERROR(IF(0=LEN(ReferenceData!$AU$80),"",ReferenceData!$AU$80),"")</f>
        <v>296.91300000000001</v>
      </c>
      <c r="AV80">
        <f ca="1">IFERROR(IF(0=LEN(ReferenceData!$AV$80),"",ReferenceData!$AV$80),"")</f>
        <v>313.32499999999999</v>
      </c>
      <c r="AW80">
        <f ca="1">IFERROR(IF(0=LEN(ReferenceData!$AW$80),"",ReferenceData!$AW$80),"")</f>
        <v>314.80700000000002</v>
      </c>
      <c r="AX80">
        <f ca="1">IFERROR(IF(0=LEN(ReferenceData!$AX$80),"",ReferenceData!$AX$80),"")</f>
        <v>376.13099999999997</v>
      </c>
      <c r="AY80">
        <f ca="1">IFERROR(IF(0=LEN(ReferenceData!$AY$80),"",ReferenceData!$AY$80),"")</f>
        <v>371.37</v>
      </c>
      <c r="AZ80">
        <f ca="1">IFERROR(IF(0=LEN(ReferenceData!$AZ$80),"",ReferenceData!$AZ$80),"")</f>
        <v>378.23500000000001</v>
      </c>
      <c r="BA80">
        <f ca="1">IFERROR(IF(0=LEN(ReferenceData!$BA$80),"",ReferenceData!$BA$80),"")</f>
        <v>420.14400000000001</v>
      </c>
      <c r="BB80">
        <f ca="1">IFERROR(IF(0=LEN(ReferenceData!$BB$80),"",ReferenceData!$BB$80),"")</f>
        <v>488.96600000000001</v>
      </c>
      <c r="BC80">
        <f ca="1">IFERROR(IF(0=LEN(ReferenceData!$BC$80),"",ReferenceData!$BC$80),"")</f>
        <v>526.84400000000005</v>
      </c>
      <c r="BD80">
        <f ca="1">IFERROR(IF(0=LEN(ReferenceData!$BD$80),"",ReferenceData!$BD$80),"")</f>
        <v>544.93799999999999</v>
      </c>
      <c r="BE80">
        <f ca="1">IFERROR(IF(0=LEN(ReferenceData!$BE$80),"",ReferenceData!$BE$80),"")</f>
        <v>517.62</v>
      </c>
      <c r="BF80">
        <f ca="1">IFERROR(IF(0=LEN(ReferenceData!$BF$80),"",ReferenceData!$BF$80),"")</f>
        <v>561.83399999999995</v>
      </c>
      <c r="BG80">
        <f ca="1">IFERROR(IF(0=LEN(ReferenceData!$BG$80),"",ReferenceData!$BG$80),"")</f>
        <v>605.55700000000002</v>
      </c>
      <c r="BH80">
        <f ca="1">IFERROR(IF(0=LEN(ReferenceData!$BH$80),"",ReferenceData!$BH$80),"")</f>
        <v>502.98599999999999</v>
      </c>
      <c r="BI80">
        <f ca="1">IFERROR(IF(0=LEN(ReferenceData!$BI$80),"",ReferenceData!$BI$80),"")</f>
        <v>413.73700000000002</v>
      </c>
      <c r="BJ80">
        <f ca="1">IFERROR(IF(0=LEN(ReferenceData!$BJ$80),"",ReferenceData!$BJ$80),"")</f>
        <v>523.83399999999995</v>
      </c>
      <c r="BK80">
        <f ca="1">IFERROR(IF(0=LEN(ReferenceData!$BK$80),"",ReferenceData!$BK$80),"")</f>
        <v>536.702</v>
      </c>
      <c r="BL80">
        <f ca="1">IFERROR(IF(0=LEN(ReferenceData!$BL$80),"",ReferenceData!$BL$80),"")</f>
        <v>487.69200000000001</v>
      </c>
      <c r="BM80" t="str">
        <f ca="1">IFERROR(IF(0=LEN(ReferenceData!$BM$80),"",ReferenceData!$BM$80),"")</f>
        <v/>
      </c>
    </row>
    <row r="81" spans="1:65" x14ac:dyDescent="0.25">
      <c r="A81" t="str">
        <f>IFERROR(IF(0=LEN(ReferenceData!$A$81),"",ReferenceData!$A$81),"")</f>
        <v xml:space="preserve">            PNC Financial Services Group I</v>
      </c>
      <c r="B81" t="str">
        <f>IFERROR(IF(0=LEN(ReferenceData!$B$81),"",ReferenceData!$B$81),"")</f>
        <v>PNC US Equity</v>
      </c>
      <c r="C81" t="str">
        <f>IFERROR(IF(0=LEN(ReferenceData!$C$81),"",ReferenceData!$C$81),"")</f>
        <v>FC070</v>
      </c>
      <c r="D81" t="str">
        <f>IFERROR(IF(0=LEN(ReferenceData!$D$81),"",ReferenceData!$D$81),"")</f>
        <v>FDIC_TRADING_ACCT_ASSETS</v>
      </c>
      <c r="E81" t="str">
        <f>IFERROR(IF(0=LEN(ReferenceData!$E$81),"",ReferenceData!$E$81),"")</f>
        <v>Dynamic</v>
      </c>
      <c r="F81" t="str">
        <f ca="1">IFERROR(IF(0=LEN(ReferenceData!$F$81),"",ReferenceData!$F$81),"")</f>
        <v/>
      </c>
      <c r="G81" t="str">
        <f ca="1">IFERROR(IF(0=LEN(ReferenceData!$G$81),"",ReferenceData!$G$81),"")</f>
        <v/>
      </c>
      <c r="H81">
        <f ca="1">IFERROR(IF(0=LEN(ReferenceData!$H$81),"",ReferenceData!$H$81),"")</f>
        <v>3279.3310000000001</v>
      </c>
      <c r="I81">
        <f ca="1">IFERROR(IF(0=LEN(ReferenceData!$I$81),"",ReferenceData!$I$81),"")</f>
        <v>3406.6619999999998</v>
      </c>
      <c r="J81">
        <f ca="1">IFERROR(IF(0=LEN(ReferenceData!$J$81),"",ReferenceData!$J$81),"")</f>
        <v>3726.415</v>
      </c>
      <c r="K81">
        <f ca="1">IFERROR(IF(0=LEN(ReferenceData!$K$81),"",ReferenceData!$K$81),"")</f>
        <v>3581.5520000000001</v>
      </c>
      <c r="L81">
        <f ca="1">IFERROR(IF(0=LEN(ReferenceData!$L$81),"",ReferenceData!$L$81),"")</f>
        <v>3368.17</v>
      </c>
      <c r="M81">
        <f ca="1">IFERROR(IF(0=LEN(ReferenceData!$M$81),"",ReferenceData!$M$81),"")</f>
        <v>3343.9549999999999</v>
      </c>
      <c r="N81">
        <f ca="1">IFERROR(IF(0=LEN(ReferenceData!$N$81),"",ReferenceData!$N$81),"")</f>
        <v>3482.895</v>
      </c>
      <c r="O81">
        <f ca="1">IFERROR(IF(0=LEN(ReferenceData!$O$81),"",ReferenceData!$O$81),"")</f>
        <v>5119.9759999999997</v>
      </c>
      <c r="P81">
        <f ca="1">IFERROR(IF(0=LEN(ReferenceData!$P$81),"",ReferenceData!$P$81),"")</f>
        <v>5480.8010000000004</v>
      </c>
      <c r="Q81">
        <f ca="1">IFERROR(IF(0=LEN(ReferenceData!$Q$81),"",ReferenceData!$Q$81),"")</f>
        <v>6488.7870000000003</v>
      </c>
      <c r="R81">
        <f ca="1">IFERROR(IF(0=LEN(ReferenceData!$R$81),"",ReferenceData!$R$81),"")</f>
        <v>5515.5320000000002</v>
      </c>
      <c r="S81">
        <f ca="1">IFERROR(IF(0=LEN(ReferenceData!$S$81),"",ReferenceData!$S$81),"")</f>
        <v>7040.9719999999998</v>
      </c>
      <c r="T81">
        <f ca="1">IFERROR(IF(0=LEN(ReferenceData!$T$81),"",ReferenceData!$T$81),"")</f>
        <v>6382.4830000000002</v>
      </c>
      <c r="U81">
        <f ca="1">IFERROR(IF(0=LEN(ReferenceData!$U$81),"",ReferenceData!$U$81),"")</f>
        <v>5457.2269999999999</v>
      </c>
      <c r="V81">
        <f ca="1">IFERROR(IF(0=LEN(ReferenceData!$V$81),"",ReferenceData!$V$81),"")</f>
        <v>7906.2920000000004</v>
      </c>
      <c r="W81">
        <f ca="1">IFERROR(IF(0=LEN(ReferenceData!$W$81),"",ReferenceData!$W$81),"")</f>
        <v>7987.7550000000001</v>
      </c>
      <c r="X81">
        <f ca="1">IFERROR(IF(0=LEN(ReferenceData!$X$81),"",ReferenceData!$X$81),"")</f>
        <v>9768.2849999999999</v>
      </c>
      <c r="Y81">
        <f ca="1">IFERROR(IF(0=LEN(ReferenceData!$Y$81),"",ReferenceData!$Y$81),"")</f>
        <v>10905.172</v>
      </c>
      <c r="Z81">
        <f ca="1">IFERROR(IF(0=LEN(ReferenceData!$Z$81),"",ReferenceData!$Z$81),"")</f>
        <v>6008.6360000000004</v>
      </c>
      <c r="AA81">
        <f ca="1">IFERROR(IF(0=LEN(ReferenceData!$AA$81),"",ReferenceData!$AA$81),"")</f>
        <v>6700.6419999999998</v>
      </c>
      <c r="AB81">
        <f ca="1">IFERROR(IF(0=LEN(ReferenceData!$AB$81),"",ReferenceData!$AB$81),"")</f>
        <v>5425.6880000000001</v>
      </c>
      <c r="AC81">
        <f ca="1">IFERROR(IF(0=LEN(ReferenceData!$AC$81),"",ReferenceData!$AC$81),"")</f>
        <v>5281.3220000000001</v>
      </c>
      <c r="AD81">
        <f ca="1">IFERROR(IF(0=LEN(ReferenceData!$AD$81),"",ReferenceData!$AD$81),"")</f>
        <v>5342.2250000000004</v>
      </c>
      <c r="AE81">
        <f ca="1">IFERROR(IF(0=LEN(ReferenceData!$AE$81),"",ReferenceData!$AE$81),"")</f>
        <v>4815.875</v>
      </c>
      <c r="AF81">
        <f ca="1">IFERROR(IF(0=LEN(ReferenceData!$AF$81),"",ReferenceData!$AF$81),"")</f>
        <v>4267.1559999999999</v>
      </c>
      <c r="AG81">
        <f ca="1">IFERROR(IF(0=LEN(ReferenceData!$AG$81),"",ReferenceData!$AG$81),"")</f>
        <v>3750.9470000000001</v>
      </c>
      <c r="AH81">
        <f ca="1">IFERROR(IF(0=LEN(ReferenceData!$AH$81),"",ReferenceData!$AH$81),"")</f>
        <v>4764.2380000000003</v>
      </c>
      <c r="AI81">
        <f ca="1">IFERROR(IF(0=LEN(ReferenceData!$AI$81),"",ReferenceData!$AI$81),"")</f>
        <v>4309.46</v>
      </c>
      <c r="AJ81">
        <f ca="1">IFERROR(IF(0=LEN(ReferenceData!$AJ$81),"",ReferenceData!$AJ$81),"")</f>
        <v>4757.0029999999997</v>
      </c>
      <c r="AK81">
        <f ca="1">IFERROR(IF(0=LEN(ReferenceData!$AK$81),"",ReferenceData!$AK$81),"")</f>
        <v>4301.4489999999996</v>
      </c>
      <c r="AL81">
        <f ca="1">IFERROR(IF(0=LEN(ReferenceData!$AL$81),"",ReferenceData!$AL$81),"")</f>
        <v>3919.2840000000001</v>
      </c>
      <c r="AM81">
        <f ca="1">IFERROR(IF(0=LEN(ReferenceData!$AM$81),"",ReferenceData!$AM$81),"")</f>
        <v>4615.9549999999999</v>
      </c>
      <c r="AN81">
        <f ca="1">IFERROR(IF(0=LEN(ReferenceData!$AN$81),"",ReferenceData!$AN$81),"")</f>
        <v>4193.3059999999996</v>
      </c>
      <c r="AO81">
        <f ca="1">IFERROR(IF(0=LEN(ReferenceData!$AO$81),"",ReferenceData!$AO$81),"")</f>
        <v>3792.598</v>
      </c>
      <c r="AP81">
        <f ca="1">IFERROR(IF(0=LEN(ReferenceData!$AP$81),"",ReferenceData!$AP$81),"")</f>
        <v>3353.81</v>
      </c>
      <c r="AQ81">
        <f ca="1">IFERROR(IF(0=LEN(ReferenceData!$AQ$81),"",ReferenceData!$AQ$81),"")</f>
        <v>3930.7890000000002</v>
      </c>
      <c r="AR81">
        <f ca="1">IFERROR(IF(0=LEN(ReferenceData!$AR$81),"",ReferenceData!$AR$81),"")</f>
        <v>4008.2449999999999</v>
      </c>
      <c r="AS81">
        <f ca="1">IFERROR(IF(0=LEN(ReferenceData!$AS$81),"",ReferenceData!$AS$81),"")</f>
        <v>4201.8190000000004</v>
      </c>
      <c r="AT81">
        <f ca="1">IFERROR(IF(0=LEN(ReferenceData!$AT$81),"",ReferenceData!$AT$81),"")</f>
        <v>4109.0519999999997</v>
      </c>
      <c r="AU81">
        <f ca="1">IFERROR(IF(0=LEN(ReferenceData!$AU$81),"",ReferenceData!$AU$81),"")</f>
        <v>4132.7719999999999</v>
      </c>
      <c r="AV81">
        <f ca="1">IFERROR(IF(0=LEN(ReferenceData!$AV$81),"",ReferenceData!$AV$81),"")</f>
        <v>3711.5520000000001</v>
      </c>
      <c r="AW81">
        <f ca="1">IFERROR(IF(0=LEN(ReferenceData!$AW$81),"",ReferenceData!$AW$81),"")</f>
        <v>3744.3989999999999</v>
      </c>
      <c r="AX81">
        <f ca="1">IFERROR(IF(0=LEN(ReferenceData!$AX$81),"",ReferenceData!$AX$81),"")</f>
        <v>4426.3850000000002</v>
      </c>
      <c r="AY81">
        <f ca="1">IFERROR(IF(0=LEN(ReferenceData!$AY$81),"",ReferenceData!$AY$81),"")</f>
        <v>2883.942</v>
      </c>
      <c r="AZ81">
        <f ca="1">IFERROR(IF(0=LEN(ReferenceData!$AZ$81),"",ReferenceData!$AZ$81),"")</f>
        <v>3174.6590000000001</v>
      </c>
      <c r="BA81">
        <f ca="1">IFERROR(IF(0=LEN(ReferenceData!$BA$81),"",ReferenceData!$BA$81),"")</f>
        <v>3241.991</v>
      </c>
      <c r="BB81">
        <f ca="1">IFERROR(IF(0=LEN(ReferenceData!$BB$81),"",ReferenceData!$BB$81),"")</f>
        <v>3037.0189999999998</v>
      </c>
      <c r="BC81">
        <f ca="1">IFERROR(IF(0=LEN(ReferenceData!$BC$81),"",ReferenceData!$BC$81),"")</f>
        <v>2858.0309999999999</v>
      </c>
      <c r="BD81">
        <f ca="1">IFERROR(IF(0=LEN(ReferenceData!$BD$81),"",ReferenceData!$BD$81),"")</f>
        <v>2403.5639999999999</v>
      </c>
      <c r="BE81">
        <f ca="1">IFERROR(IF(0=LEN(ReferenceData!$BE$81),"",ReferenceData!$BE$81),"")</f>
        <v>2782.5279999999998</v>
      </c>
      <c r="BF81">
        <f ca="1">IFERROR(IF(0=LEN(ReferenceData!$BF$81),"",ReferenceData!$BF$81),"")</f>
        <v>2703.8820000000001</v>
      </c>
      <c r="BG81">
        <f ca="1">IFERROR(IF(0=LEN(ReferenceData!$BG$81),"",ReferenceData!$BG$81),"")</f>
        <v>4054.268</v>
      </c>
      <c r="BH81">
        <f ca="1">IFERROR(IF(0=LEN(ReferenceData!$BH$81),"",ReferenceData!$BH$81),"")</f>
        <v>2152.3919999999998</v>
      </c>
      <c r="BI81">
        <f ca="1">IFERROR(IF(0=LEN(ReferenceData!$BI$81),"",ReferenceData!$BI$81),"")</f>
        <v>2963.5430000000001</v>
      </c>
      <c r="BJ81">
        <f ca="1">IFERROR(IF(0=LEN(ReferenceData!$BJ$81),"",ReferenceData!$BJ$81),"")</f>
        <v>2546.433</v>
      </c>
      <c r="BK81">
        <f ca="1">IFERROR(IF(0=LEN(ReferenceData!$BK$81),"",ReferenceData!$BK$81),"")</f>
        <v>1800.422</v>
      </c>
      <c r="BL81">
        <f ca="1">IFERROR(IF(0=LEN(ReferenceData!$BL$81),"",ReferenceData!$BL$81),"")</f>
        <v>2091.7730000000001</v>
      </c>
      <c r="BM81">
        <f ca="1">IFERROR(IF(0=LEN(ReferenceData!$BM$81),"",ReferenceData!$BM$81),"")</f>
        <v>1844.846</v>
      </c>
    </row>
    <row r="82" spans="1:65" x14ac:dyDescent="0.25">
      <c r="A82" t="str">
        <f>IFERROR(IF(0=LEN(ReferenceData!$A$82),"",ReferenceData!$A$82),"")</f>
        <v xml:space="preserve">            Regions Financial Corp</v>
      </c>
      <c r="B82" t="str">
        <f>IFERROR(IF(0=LEN(ReferenceData!$B$82),"",ReferenceData!$B$82),"")</f>
        <v>RF US Equity</v>
      </c>
      <c r="C82" t="str">
        <f>IFERROR(IF(0=LEN(ReferenceData!$C$82),"",ReferenceData!$C$82),"")</f>
        <v>FC070</v>
      </c>
      <c r="D82" t="str">
        <f>IFERROR(IF(0=LEN(ReferenceData!$D$82),"",ReferenceData!$D$82),"")</f>
        <v>FDIC_TRADING_ACCT_ASSETS</v>
      </c>
      <c r="E82" t="str">
        <f>IFERROR(IF(0=LEN(ReferenceData!$E$82),"",ReferenceData!$E$82),"")</f>
        <v>Dynamic</v>
      </c>
      <c r="F82" t="str">
        <f ca="1">IFERROR(IF(0=LEN(ReferenceData!$F$82),"",ReferenceData!$F$82),"")</f>
        <v/>
      </c>
      <c r="G82">
        <f ca="1">IFERROR(IF(0=LEN(ReferenceData!$G$82),"",ReferenceData!$G$82),"")</f>
        <v>7</v>
      </c>
      <c r="H82">
        <f ca="1">IFERROR(IF(0=LEN(ReferenceData!$H$82),"",ReferenceData!$H$82),"")</f>
        <v>17</v>
      </c>
      <c r="I82">
        <f ca="1">IFERROR(IF(0=LEN(ReferenceData!$I$82),"",ReferenceData!$I$82),"")</f>
        <v>27</v>
      </c>
      <c r="J82">
        <f ca="1">IFERROR(IF(0=LEN(ReferenceData!$J$82),"",ReferenceData!$J$82),"")</f>
        <v>17</v>
      </c>
      <c r="K82">
        <f ca="1">IFERROR(IF(0=LEN(ReferenceData!$K$82),"",ReferenceData!$K$82),"")</f>
        <v>22</v>
      </c>
      <c r="L82">
        <f ca="1">IFERROR(IF(0=LEN(ReferenceData!$L$82),"",ReferenceData!$L$82),"")</f>
        <v>18</v>
      </c>
      <c r="M82">
        <f ca="1">IFERROR(IF(0=LEN(ReferenceData!$M$82),"",ReferenceData!$M$82),"")</f>
        <v>19</v>
      </c>
      <c r="N82">
        <f ca="1">IFERROR(IF(0=LEN(ReferenceData!$N$82),"",ReferenceData!$N$82),"")</f>
        <v>16</v>
      </c>
      <c r="O82">
        <f ca="1">IFERROR(IF(0=LEN(ReferenceData!$O$82),"",ReferenceData!$O$82),"")</f>
        <v>5</v>
      </c>
      <c r="P82">
        <f ca="1">IFERROR(IF(0=LEN(ReferenceData!$P$82),"",ReferenceData!$P$82),"")</f>
        <v>21</v>
      </c>
      <c r="Q82">
        <f ca="1">IFERROR(IF(0=LEN(ReferenceData!$Q$82),"",ReferenceData!$Q$82),"")</f>
        <v>16</v>
      </c>
      <c r="R82">
        <f ca="1">IFERROR(IF(0=LEN(ReferenceData!$R$82),"",ReferenceData!$R$82),"")</f>
        <v>13</v>
      </c>
      <c r="S82">
        <f ca="1">IFERROR(IF(0=LEN(ReferenceData!$S$82),"",ReferenceData!$S$82),"")</f>
        <v>9</v>
      </c>
      <c r="T82">
        <f ca="1">IFERROR(IF(0=LEN(ReferenceData!$T$82),"",ReferenceData!$T$82),"")</f>
        <v>16</v>
      </c>
      <c r="U82">
        <f ca="1">IFERROR(IF(0=LEN(ReferenceData!$U$82),"",ReferenceData!$U$82),"")</f>
        <v>6</v>
      </c>
      <c r="V82">
        <f ca="1">IFERROR(IF(0=LEN(ReferenceData!$V$82),"",ReferenceData!$V$82),"")</f>
        <v>854</v>
      </c>
      <c r="W82">
        <f ca="1">IFERROR(IF(0=LEN(ReferenceData!$W$82),"",ReferenceData!$W$82),"")</f>
        <v>956</v>
      </c>
      <c r="X82">
        <f ca="1">IFERROR(IF(0=LEN(ReferenceData!$X$82),"",ReferenceData!$X$82),"")</f>
        <v>1014</v>
      </c>
      <c r="Y82">
        <f ca="1">IFERROR(IF(0=LEN(ReferenceData!$Y$82),"",ReferenceData!$Y$82),"")</f>
        <v>913</v>
      </c>
      <c r="Z82">
        <f ca="1">IFERROR(IF(0=LEN(ReferenceData!$Z$82),"",ReferenceData!$Z$82),"")</f>
        <v>108</v>
      </c>
      <c r="AA82">
        <f ca="1">IFERROR(IF(0=LEN(ReferenceData!$AA$82),"",ReferenceData!$AA$82),"")</f>
        <v>159</v>
      </c>
      <c r="AB82">
        <f ca="1">IFERROR(IF(0=LEN(ReferenceData!$AB$82),"",ReferenceData!$AB$82),"")</f>
        <v>102</v>
      </c>
      <c r="AC82">
        <f ca="1">IFERROR(IF(0=LEN(ReferenceData!$AC$82),"",ReferenceData!$AC$82),"")</f>
        <v>84</v>
      </c>
      <c r="AD82">
        <f ca="1">IFERROR(IF(0=LEN(ReferenceData!$AD$82),"",ReferenceData!$AD$82),"")</f>
        <v>51.430999999999997</v>
      </c>
      <c r="AE82">
        <f ca="1">IFERROR(IF(0=LEN(ReferenceData!$AE$82),"",ReferenceData!$AE$82),"")</f>
        <v>76.582999999999998</v>
      </c>
      <c r="AF82">
        <f ca="1">IFERROR(IF(0=LEN(ReferenceData!$AF$82),"",ReferenceData!$AF$82),"")</f>
        <v>110.024</v>
      </c>
      <c r="AG82">
        <f ca="1">IFERROR(IF(0=LEN(ReferenceData!$AG$82),"",ReferenceData!$AG$82),"")</f>
        <v>85.778999999999996</v>
      </c>
      <c r="AH82">
        <f ca="1">IFERROR(IF(0=LEN(ReferenceData!$AH$82),"",ReferenceData!$AH$82),"")</f>
        <v>400.04399999999998</v>
      </c>
      <c r="AI82">
        <f ca="1">IFERROR(IF(0=LEN(ReferenceData!$AI$82),"",ReferenceData!$AI$82),"")</f>
        <v>383.351</v>
      </c>
      <c r="AJ82">
        <f ca="1">IFERROR(IF(0=LEN(ReferenceData!$AJ$82),"",ReferenceData!$AJ$82),"")</f>
        <v>381.37099999999998</v>
      </c>
      <c r="AK82">
        <f ca="1">IFERROR(IF(0=LEN(ReferenceData!$AK$82),"",ReferenceData!$AK$82),"")</f>
        <v>348.60199999999998</v>
      </c>
      <c r="AL82">
        <f ca="1">IFERROR(IF(0=LEN(ReferenceData!$AL$82),"",ReferenceData!$AL$82),"")</f>
        <v>373.685</v>
      </c>
      <c r="AM82">
        <f ca="1">IFERROR(IF(0=LEN(ReferenceData!$AM$82),"",ReferenceData!$AM$82),"")</f>
        <v>361.15600000000001</v>
      </c>
      <c r="AN82">
        <f ca="1">IFERROR(IF(0=LEN(ReferenceData!$AN$82),"",ReferenceData!$AN$82),"")</f>
        <v>346.96699999999998</v>
      </c>
      <c r="AO82">
        <f ca="1">IFERROR(IF(0=LEN(ReferenceData!$AO$82),"",ReferenceData!$AO$82),"")</f>
        <v>393.959</v>
      </c>
      <c r="AP82">
        <f ca="1">IFERROR(IF(0=LEN(ReferenceData!$AP$82),"",ReferenceData!$AP$82),"")</f>
        <v>382.07400000000001</v>
      </c>
      <c r="AQ82">
        <f ca="1">IFERROR(IF(0=LEN(ReferenceData!$AQ$82),"",ReferenceData!$AQ$82),"")</f>
        <v>385.601</v>
      </c>
      <c r="AR82">
        <f ca="1">IFERROR(IF(0=LEN(ReferenceData!$AR$82),"",ReferenceData!$AR$82),"")</f>
        <v>368.50299999999999</v>
      </c>
      <c r="AS82">
        <f ca="1">IFERROR(IF(0=LEN(ReferenceData!$AS$82),"",ReferenceData!$AS$82),"")</f>
        <v>417.68400000000003</v>
      </c>
      <c r="AT82">
        <f ca="1">IFERROR(IF(0=LEN(ReferenceData!$AT$82),"",ReferenceData!$AT$82),"")</f>
        <v>395.06700000000001</v>
      </c>
      <c r="AU82">
        <f ca="1">IFERROR(IF(0=LEN(ReferenceData!$AU$82),"",ReferenceData!$AU$82),"")</f>
        <v>412.69299999999998</v>
      </c>
      <c r="AV82">
        <f ca="1">IFERROR(IF(0=LEN(ReferenceData!$AV$82),"",ReferenceData!$AV$82),"")</f>
        <v>510.00599999999997</v>
      </c>
      <c r="AW82">
        <f ca="1">IFERROR(IF(0=LEN(ReferenceData!$AW$82),"",ReferenceData!$AW$82),"")</f>
        <v>504.88799999999998</v>
      </c>
      <c r="AX82">
        <f ca="1">IFERROR(IF(0=LEN(ReferenceData!$AX$82),"",ReferenceData!$AX$82),"")</f>
        <v>509.84399999999999</v>
      </c>
      <c r="AY82">
        <f ca="1">IFERROR(IF(0=LEN(ReferenceData!$AY$82),"",ReferenceData!$AY$82),"")</f>
        <v>549.59299999999996</v>
      </c>
      <c r="AZ82">
        <f ca="1">IFERROR(IF(0=LEN(ReferenceData!$AZ$82),"",ReferenceData!$AZ$82),"")</f>
        <v>533.44399999999996</v>
      </c>
      <c r="BA82">
        <f ca="1">IFERROR(IF(0=LEN(ReferenceData!$BA$82),"",ReferenceData!$BA$82),"")</f>
        <v>566.07600000000002</v>
      </c>
      <c r="BB82">
        <f ca="1">IFERROR(IF(0=LEN(ReferenceData!$BB$82),"",ReferenceData!$BB$82),"")</f>
        <v>696.81299999999999</v>
      </c>
      <c r="BC82">
        <f ca="1">IFERROR(IF(0=LEN(ReferenceData!$BC$82),"",ReferenceData!$BC$82),"")</f>
        <v>742.86199999999997</v>
      </c>
      <c r="BD82">
        <f ca="1">IFERROR(IF(0=LEN(ReferenceData!$BD$82),"",ReferenceData!$BD$82),"")</f>
        <v>777.33500000000004</v>
      </c>
      <c r="BE82">
        <f ca="1">IFERROR(IF(0=LEN(ReferenceData!$BE$82),"",ReferenceData!$BE$82),"")</f>
        <v>1988.665</v>
      </c>
      <c r="BF82">
        <f ca="1">IFERROR(IF(0=LEN(ReferenceData!$BF$82),"",ReferenceData!$BF$82),"")</f>
        <v>2268.9189999999999</v>
      </c>
      <c r="BG82">
        <f ca="1">IFERROR(IF(0=LEN(ReferenceData!$BG$82),"",ReferenceData!$BG$82),"")</f>
        <v>2340.8719999999998</v>
      </c>
      <c r="BH82">
        <f ca="1">IFERROR(IF(0=LEN(ReferenceData!$BH$82),"",ReferenceData!$BH$82),"")</f>
        <v>2040.318</v>
      </c>
      <c r="BI82">
        <f ca="1">IFERROR(IF(0=LEN(ReferenceData!$BI$82),"",ReferenceData!$BI$82),"")</f>
        <v>2029.347</v>
      </c>
      <c r="BJ82">
        <f ca="1">IFERROR(IF(0=LEN(ReferenceData!$BJ$82),"",ReferenceData!$BJ$82),"")</f>
        <v>1977.6089999999999</v>
      </c>
      <c r="BK82">
        <f ca="1">IFERROR(IF(0=LEN(ReferenceData!$BK$82),"",ReferenceData!$BK$82),"")</f>
        <v>2626.85</v>
      </c>
      <c r="BL82">
        <f ca="1">IFERROR(IF(0=LEN(ReferenceData!$BL$82),"",ReferenceData!$BL$82),"")</f>
        <v>2106.04</v>
      </c>
      <c r="BM82">
        <f ca="1">IFERROR(IF(0=LEN(ReferenceData!$BM$82),"",ReferenceData!$BM$82),"")</f>
        <v>1904.5419999999999</v>
      </c>
    </row>
    <row r="83" spans="1:65" x14ac:dyDescent="0.25">
      <c r="A83" t="str">
        <f>IFERROR(IF(0=LEN(ReferenceData!$A$83),"",ReferenceData!$A$83),"")</f>
        <v xml:space="preserve">            Truist Financial Corp</v>
      </c>
      <c r="B83" t="str">
        <f>IFERROR(IF(0=LEN(ReferenceData!$B$83),"",ReferenceData!$B$83),"")</f>
        <v>TFC US Equity</v>
      </c>
      <c r="C83" t="str">
        <f>IFERROR(IF(0=LEN(ReferenceData!$C$83),"",ReferenceData!$C$83),"")</f>
        <v>FC070</v>
      </c>
      <c r="D83" t="str">
        <f>IFERROR(IF(0=LEN(ReferenceData!$D$83),"",ReferenceData!$D$83),"")</f>
        <v>FDIC_TRADING_ACCT_ASSETS</v>
      </c>
      <c r="E83" t="str">
        <f>IFERROR(IF(0=LEN(ReferenceData!$E$83),"",ReferenceData!$E$83),"")</f>
        <v>Dynamic</v>
      </c>
      <c r="F83">
        <f ca="1">IFERROR(IF(0=LEN(ReferenceData!$F$83),"",ReferenceData!$F$83),"")</f>
        <v>6042</v>
      </c>
      <c r="G83">
        <f ca="1">IFERROR(IF(0=LEN(ReferenceData!$G$83),"",ReferenceData!$G$83),"")</f>
        <v>6546</v>
      </c>
      <c r="H83">
        <f ca="1">IFERROR(IF(0=LEN(ReferenceData!$H$83),"",ReferenceData!$H$83),"")</f>
        <v>6642</v>
      </c>
      <c r="I83">
        <f ca="1">IFERROR(IF(0=LEN(ReferenceData!$I$83),"",ReferenceData!$I$83),"")</f>
        <v>6352</v>
      </c>
      <c r="J83">
        <f ca="1">IFERROR(IF(0=LEN(ReferenceData!$J$83),"",ReferenceData!$J$83),"")</f>
        <v>5274</v>
      </c>
      <c r="K83">
        <f ca="1">IFERROR(IF(0=LEN(ReferenceData!$K$83),"",ReferenceData!$K$83),"")</f>
        <v>5064</v>
      </c>
      <c r="L83">
        <f ca="1">IFERROR(IF(0=LEN(ReferenceData!$L$83),"",ReferenceData!$L$83),"")</f>
        <v>4883</v>
      </c>
      <c r="M83">
        <f ca="1">IFERROR(IF(0=LEN(ReferenceData!$M$83),"",ReferenceData!$M$83),"")</f>
        <v>5282</v>
      </c>
      <c r="N83">
        <f ca="1">IFERROR(IF(0=LEN(ReferenceData!$N$83),"",ReferenceData!$N$83),"")</f>
        <v>5558</v>
      </c>
      <c r="O83">
        <f ca="1">IFERROR(IF(0=LEN(ReferenceData!$O$83),"",ReferenceData!$O$83),"")</f>
        <v>6858</v>
      </c>
      <c r="P83">
        <f ca="1">IFERROR(IF(0=LEN(ReferenceData!$P$83),"",ReferenceData!$P$83),"")</f>
        <v>6576</v>
      </c>
      <c r="Q83">
        <f ca="1">IFERROR(IF(0=LEN(ReferenceData!$Q$83),"",ReferenceData!$Q$83),"")</f>
        <v>7870</v>
      </c>
      <c r="R83">
        <f ca="1">IFERROR(IF(0=LEN(ReferenceData!$R$83),"",ReferenceData!$R$83),"")</f>
        <v>6751</v>
      </c>
      <c r="S83">
        <f ca="1">IFERROR(IF(0=LEN(ReferenceData!$S$83),"",ReferenceData!$S$83),"")</f>
        <v>9846</v>
      </c>
      <c r="T83">
        <f ca="1">IFERROR(IF(0=LEN(ReferenceData!$T$83),"",ReferenceData!$T$83),"")</f>
        <v>9052</v>
      </c>
      <c r="U83">
        <f ca="1">IFERROR(IF(0=LEN(ReferenceData!$U$83),"",ReferenceData!$U$83),"")</f>
        <v>7779</v>
      </c>
      <c r="V83">
        <f ca="1">IFERROR(IF(0=LEN(ReferenceData!$V$83),"",ReferenceData!$V$83),"")</f>
        <v>7510</v>
      </c>
      <c r="W83">
        <f ca="1">IFERROR(IF(0=LEN(ReferenceData!$W$83),"",ReferenceData!$W$83),"")</f>
        <v>8478</v>
      </c>
      <c r="X83">
        <f ca="1">IFERROR(IF(0=LEN(ReferenceData!$X$83),"",ReferenceData!$X$83),"")</f>
        <v>7809</v>
      </c>
      <c r="Y83">
        <f ca="1">IFERROR(IF(0=LEN(ReferenceData!$Y$83),"",ReferenceData!$Y$83),"")</f>
        <v>7711</v>
      </c>
      <c r="Z83">
        <f ca="1">IFERROR(IF(0=LEN(ReferenceData!$Z$83),"",ReferenceData!$Z$83),"")</f>
        <v>7732</v>
      </c>
      <c r="AA83">
        <f ca="1">IFERROR(IF(0=LEN(ReferenceData!$AA$83),"",ReferenceData!$AA$83),"")</f>
        <v>1059</v>
      </c>
      <c r="AB83">
        <f ca="1">IFERROR(IF(0=LEN(ReferenceData!$AB$83),"",ReferenceData!$AB$83),"")</f>
        <v>1906</v>
      </c>
      <c r="AC83">
        <f ca="1">IFERROR(IF(0=LEN(ReferenceData!$AC$83),"",ReferenceData!$AC$83),"")</f>
        <v>1777</v>
      </c>
      <c r="AD83">
        <f ca="1">IFERROR(IF(0=LEN(ReferenceData!$AD$83),"",ReferenceData!$AD$83),"")</f>
        <v>554</v>
      </c>
      <c r="AE83">
        <f ca="1">IFERROR(IF(0=LEN(ReferenceData!$AE$83),"",ReferenceData!$AE$83),"")</f>
        <v>769</v>
      </c>
      <c r="AF83">
        <f ca="1">IFERROR(IF(0=LEN(ReferenceData!$AF$83),"",ReferenceData!$AF$83),"")</f>
        <v>544</v>
      </c>
      <c r="AG83">
        <f ca="1">IFERROR(IF(0=LEN(ReferenceData!$AG$83),"",ReferenceData!$AG$83),"")</f>
        <v>359</v>
      </c>
      <c r="AH83">
        <f ca="1">IFERROR(IF(0=LEN(ReferenceData!$AH$83),"",ReferenceData!$AH$83),"")</f>
        <v>842</v>
      </c>
      <c r="AI83">
        <f ca="1">IFERROR(IF(0=LEN(ReferenceData!$AI$83),"",ReferenceData!$AI$83),"")</f>
        <v>1336</v>
      </c>
      <c r="AJ83">
        <f ca="1">IFERROR(IF(0=LEN(ReferenceData!$AJ$83),"",ReferenceData!$AJ$83),"")</f>
        <v>1666</v>
      </c>
      <c r="AK83">
        <f ca="1">IFERROR(IF(0=LEN(ReferenceData!$AK$83),"",ReferenceData!$AK$83),"")</f>
        <v>1661.0450000000001</v>
      </c>
      <c r="AL83">
        <f ca="1">IFERROR(IF(0=LEN(ReferenceData!$AL$83),"",ReferenceData!$AL$83),"")</f>
        <v>1066.4949999999999</v>
      </c>
      <c r="AM83">
        <f ca="1">IFERROR(IF(0=LEN(ReferenceData!$AM$83),"",ReferenceData!$AM$83),"")</f>
        <v>1519.0920000000001</v>
      </c>
      <c r="AN83">
        <f ca="1">IFERROR(IF(0=LEN(ReferenceData!$AN$83),"",ReferenceData!$AN$83),"")</f>
        <v>1193.4079999999999</v>
      </c>
      <c r="AO83">
        <f ca="1">IFERROR(IF(0=LEN(ReferenceData!$AO$83),"",ReferenceData!$AO$83),"")</f>
        <v>1980.327</v>
      </c>
      <c r="AP83">
        <f ca="1">IFERROR(IF(0=LEN(ReferenceData!$AP$83),"",ReferenceData!$AP$83),"")</f>
        <v>1532.4290000000001</v>
      </c>
      <c r="AQ83">
        <f ca="1">IFERROR(IF(0=LEN(ReferenceData!$AQ$83),"",ReferenceData!$AQ$83),"")</f>
        <v>1260.3869999999999</v>
      </c>
      <c r="AR83">
        <f ca="1">IFERROR(IF(0=LEN(ReferenceData!$AR$83),"",ReferenceData!$AR$83),"")</f>
        <v>1062.9970000000001</v>
      </c>
      <c r="AS83">
        <f ca="1">IFERROR(IF(0=LEN(ReferenceData!$AS$83),"",ReferenceData!$AS$83),"")</f>
        <v>1293.008</v>
      </c>
      <c r="AT83">
        <f ca="1">IFERROR(IF(0=LEN(ReferenceData!$AT$83),"",ReferenceData!$AT$83),"")</f>
        <v>855.59100000000001</v>
      </c>
      <c r="AU83">
        <f ca="1">IFERROR(IF(0=LEN(ReferenceData!$AU$83),"",ReferenceData!$AU$83),"")</f>
        <v>828.35500000000002</v>
      </c>
      <c r="AV83">
        <f ca="1">IFERROR(IF(0=LEN(ReferenceData!$AV$83),"",ReferenceData!$AV$83),"")</f>
        <v>852.702</v>
      </c>
      <c r="AW83">
        <f ca="1">IFERROR(IF(0=LEN(ReferenceData!$AW$83),"",ReferenceData!$AW$83),"")</f>
        <v>910.85500000000002</v>
      </c>
      <c r="AX83">
        <f ca="1">IFERROR(IF(0=LEN(ReferenceData!$AX$83),"",ReferenceData!$AX$83),"")</f>
        <v>791.43200000000002</v>
      </c>
      <c r="AY83">
        <f ca="1">IFERROR(IF(0=LEN(ReferenceData!$AY$83),"",ReferenceData!$AY$83),"")</f>
        <v>980.779</v>
      </c>
      <c r="AZ83">
        <f ca="1">IFERROR(IF(0=LEN(ReferenceData!$AZ$83),"",ReferenceData!$AZ$83),"")</f>
        <v>1016.549</v>
      </c>
      <c r="BA83">
        <f ca="1">IFERROR(IF(0=LEN(ReferenceData!$BA$83),"",ReferenceData!$BA$83),"")</f>
        <v>1266.442</v>
      </c>
      <c r="BB83">
        <f ca="1">IFERROR(IF(0=LEN(ReferenceData!$BB$83),"",ReferenceData!$BB$83),"")</f>
        <v>1211.7470000000001</v>
      </c>
      <c r="BC83">
        <f ca="1">IFERROR(IF(0=LEN(ReferenceData!$BC$83),"",ReferenceData!$BC$83),"")</f>
        <v>1355.355</v>
      </c>
      <c r="BD83">
        <f ca="1">IFERROR(IF(0=LEN(ReferenceData!$BD$83),"",ReferenceData!$BD$83),"")</f>
        <v>1298.0039999999999</v>
      </c>
      <c r="BE83">
        <f ca="1">IFERROR(IF(0=LEN(ReferenceData!$BE$83),"",ReferenceData!$BE$83),"")</f>
        <v>1273.538</v>
      </c>
      <c r="BF83">
        <f ca="1">IFERROR(IF(0=LEN(ReferenceData!$BF$83),"",ReferenceData!$BF$83),"")</f>
        <v>1280.818</v>
      </c>
      <c r="BG83">
        <f ca="1">IFERROR(IF(0=LEN(ReferenceData!$BG$83),"",ReferenceData!$BG$83),"")</f>
        <v>1188.5989999999999</v>
      </c>
      <c r="BH83">
        <f ca="1">IFERROR(IF(0=LEN(ReferenceData!$BH$83),"",ReferenceData!$BH$83),"")</f>
        <v>1107.5060000000001</v>
      </c>
      <c r="BI83">
        <f ca="1">IFERROR(IF(0=LEN(ReferenceData!$BI$83),"",ReferenceData!$BI$83),"")</f>
        <v>1199.43</v>
      </c>
      <c r="BJ83">
        <f ca="1">IFERROR(IF(0=LEN(ReferenceData!$BJ$83),"",ReferenceData!$BJ$83),"")</f>
        <v>1178.92</v>
      </c>
      <c r="BK83">
        <f ca="1">IFERROR(IF(0=LEN(ReferenceData!$BK$83),"",ReferenceData!$BK$83),"")</f>
        <v>1340.7449999999999</v>
      </c>
      <c r="BL83">
        <f ca="1">IFERROR(IF(0=LEN(ReferenceData!$BL$83),"",ReferenceData!$BL$83),"")</f>
        <v>1231.133</v>
      </c>
      <c r="BM83" t="str">
        <f ca="1">IFERROR(IF(0=LEN(ReferenceData!$BM$83),"",ReferenceData!$BM$83),"")</f>
        <v/>
      </c>
    </row>
    <row r="84" spans="1:65" x14ac:dyDescent="0.25">
      <c r="A84" t="str">
        <f>IFERROR(IF(0=LEN(ReferenceData!$A$84),"",ReferenceData!$A$84),"")</f>
        <v xml:space="preserve">            US Bancorp</v>
      </c>
      <c r="B84" t="str">
        <f>IFERROR(IF(0=LEN(ReferenceData!$B$84),"",ReferenceData!$B$84),"")</f>
        <v>USB US Equity</v>
      </c>
      <c r="C84" t="str">
        <f>IFERROR(IF(0=LEN(ReferenceData!$C$84),"",ReferenceData!$C$84),"")</f>
        <v>FC070</v>
      </c>
      <c r="D84" t="str">
        <f>IFERROR(IF(0=LEN(ReferenceData!$D$84),"",ReferenceData!$D$84),"")</f>
        <v>FDIC_TRADING_ACCT_ASSETS</v>
      </c>
      <c r="E84" t="str">
        <f>IFERROR(IF(0=LEN(ReferenceData!$E$84),"",ReferenceData!$E$84),"")</f>
        <v>Dynamic</v>
      </c>
      <c r="F84">
        <f ca="1">IFERROR(IF(0=LEN(ReferenceData!$F$84),"",ReferenceData!$F$84),"")</f>
        <v>5599</v>
      </c>
      <c r="G84">
        <f ca="1">IFERROR(IF(0=LEN(ReferenceData!$G$84),"",ReferenceData!$G$84),"")</f>
        <v>6057</v>
      </c>
      <c r="H84">
        <f ca="1">IFERROR(IF(0=LEN(ReferenceData!$H$84),"",ReferenceData!$H$84),"")</f>
        <v>5305</v>
      </c>
      <c r="I84">
        <f ca="1">IFERROR(IF(0=LEN(ReferenceData!$I$84),"",ReferenceData!$I$84),"")</f>
        <v>5245</v>
      </c>
      <c r="J84">
        <f ca="1">IFERROR(IF(0=LEN(ReferenceData!$J$84),"",ReferenceData!$J$84),"")</f>
        <v>5309</v>
      </c>
      <c r="K84">
        <f ca="1">IFERROR(IF(0=LEN(ReferenceData!$K$84),"",ReferenceData!$K$84),"")</f>
        <v>5263</v>
      </c>
      <c r="L84">
        <f ca="1">IFERROR(IF(0=LEN(ReferenceData!$L$84),"",ReferenceData!$L$84),"")</f>
        <v>6268</v>
      </c>
      <c r="M84">
        <f ca="1">IFERROR(IF(0=LEN(ReferenceData!$M$84),"",ReferenceData!$M$84),"")</f>
        <v>5278</v>
      </c>
      <c r="N84">
        <f ca="1">IFERROR(IF(0=LEN(ReferenceData!$N$84),"",ReferenceData!$N$84),"")</f>
        <v>4383</v>
      </c>
      <c r="O84">
        <f ca="1">IFERROR(IF(0=LEN(ReferenceData!$O$84),"",ReferenceData!$O$84),"")</f>
        <v>4704</v>
      </c>
      <c r="P84">
        <f ca="1">IFERROR(IF(0=LEN(ReferenceData!$P$84),"",ReferenceData!$P$84),"")</f>
        <v>3836</v>
      </c>
      <c r="Q84">
        <f ca="1">IFERROR(IF(0=LEN(ReferenceData!$Q$84),"",ReferenceData!$Q$84),"")</f>
        <v>3750</v>
      </c>
      <c r="R84">
        <f ca="1">IFERROR(IF(0=LEN(ReferenceData!$R$84),"",ReferenceData!$R$84),"")</f>
        <v>4398</v>
      </c>
      <c r="S84">
        <f ca="1">IFERROR(IF(0=LEN(ReferenceData!$S$84),"",ReferenceData!$S$84),"")</f>
        <v>4775</v>
      </c>
      <c r="T84">
        <f ca="1">IFERROR(IF(0=LEN(ReferenceData!$T$84),"",ReferenceData!$T$84),"")</f>
        <v>4915</v>
      </c>
      <c r="U84">
        <f ca="1">IFERROR(IF(0=LEN(ReferenceData!$U$84),"",ReferenceData!$U$84),"")</f>
        <v>4727</v>
      </c>
      <c r="V84">
        <f ca="1">IFERROR(IF(0=LEN(ReferenceData!$V$84),"",ReferenceData!$V$84),"")</f>
        <v>5744</v>
      </c>
      <c r="W84">
        <f ca="1">IFERROR(IF(0=LEN(ReferenceData!$W$84),"",ReferenceData!$W$84),"")</f>
        <v>5753</v>
      </c>
      <c r="X84">
        <f ca="1">IFERROR(IF(0=LEN(ReferenceData!$X$84),"",ReferenceData!$X$84),"")</f>
        <v>5879</v>
      </c>
      <c r="Y84">
        <f ca="1">IFERROR(IF(0=LEN(ReferenceData!$Y$84),"",ReferenceData!$Y$84),"")</f>
        <v>7027</v>
      </c>
      <c r="Z84">
        <f ca="1">IFERROR(IF(0=LEN(ReferenceData!$Z$84),"",ReferenceData!$Z$84),"")</f>
        <v>3702</v>
      </c>
      <c r="AA84">
        <f ca="1">IFERROR(IF(0=LEN(ReferenceData!$AA$84),"",ReferenceData!$AA$84),"")</f>
        <v>4586</v>
      </c>
      <c r="AB84">
        <f ca="1">IFERROR(IF(0=LEN(ReferenceData!$AB$84),"",ReferenceData!$AB$84),"")</f>
        <v>3526</v>
      </c>
      <c r="AC84">
        <f ca="1">IFERROR(IF(0=LEN(ReferenceData!$AC$84),"",ReferenceData!$AC$84),"")</f>
        <v>3073</v>
      </c>
      <c r="AD84">
        <f ca="1">IFERROR(IF(0=LEN(ReferenceData!$AD$84),"",ReferenceData!$AD$84),"")</f>
        <v>2662</v>
      </c>
      <c r="AE84">
        <f ca="1">IFERROR(IF(0=LEN(ReferenceData!$AE$84),"",ReferenceData!$AE$84),"")</f>
        <v>2592</v>
      </c>
      <c r="AF84">
        <f ca="1">IFERROR(IF(0=LEN(ReferenceData!$AF$84),"",ReferenceData!$AF$84),"")</f>
        <v>2436</v>
      </c>
      <c r="AG84">
        <f ca="1">IFERROR(IF(0=LEN(ReferenceData!$AG$84),"",ReferenceData!$AG$84),"")</f>
        <v>2919</v>
      </c>
      <c r="AH84">
        <f ca="1">IFERROR(IF(0=LEN(ReferenceData!$AH$84),"",ReferenceData!$AH$84),"")</f>
        <v>3078</v>
      </c>
      <c r="AI84">
        <f ca="1">IFERROR(IF(0=LEN(ReferenceData!$AI$84),"",ReferenceData!$AI$84),"")</f>
        <v>3204</v>
      </c>
      <c r="AJ84">
        <f ca="1">IFERROR(IF(0=LEN(ReferenceData!$AJ$84),"",ReferenceData!$AJ$84),"")</f>
        <v>3041</v>
      </c>
      <c r="AK84">
        <f ca="1">IFERROR(IF(0=LEN(ReferenceData!$AK$84),"",ReferenceData!$AK$84),"")</f>
        <v>3160</v>
      </c>
      <c r="AL84">
        <f ca="1">IFERROR(IF(0=LEN(ReferenceData!$AL$84),"",ReferenceData!$AL$84),"")</f>
        <v>3027</v>
      </c>
      <c r="AM84">
        <f ca="1">IFERROR(IF(0=LEN(ReferenceData!$AM$84),"",ReferenceData!$AM$84),"")</f>
        <v>4166</v>
      </c>
      <c r="AN84">
        <f ca="1">IFERROR(IF(0=LEN(ReferenceData!$AN$84),"",ReferenceData!$AN$84),"")</f>
        <v>3897</v>
      </c>
      <c r="AO84">
        <f ca="1">IFERROR(IF(0=LEN(ReferenceData!$AO$84),"",ReferenceData!$AO$84),"")</f>
        <v>3091</v>
      </c>
      <c r="AP84">
        <f ca="1">IFERROR(IF(0=LEN(ReferenceData!$AP$84),"",ReferenceData!$AP$84),"")</f>
        <v>2129</v>
      </c>
      <c r="AQ84">
        <f ca="1">IFERROR(IF(0=LEN(ReferenceData!$AQ$84),"",ReferenceData!$AQ$84),"")</f>
        <v>2525</v>
      </c>
      <c r="AR84">
        <f ca="1">IFERROR(IF(0=LEN(ReferenceData!$AR$84),"",ReferenceData!$AR$84),"")</f>
        <v>2225</v>
      </c>
      <c r="AS84">
        <f ca="1">IFERROR(IF(0=LEN(ReferenceData!$AS$84),"",ReferenceData!$AS$84),"")</f>
        <v>2604</v>
      </c>
      <c r="AT84">
        <f ca="1">IFERROR(IF(0=LEN(ReferenceData!$AT$84),"",ReferenceData!$AT$84),"")</f>
        <v>1957</v>
      </c>
      <c r="AU84">
        <f ca="1">IFERROR(IF(0=LEN(ReferenceData!$AU$84),"",ReferenceData!$AU$84),"")</f>
        <v>1946</v>
      </c>
      <c r="AV84">
        <f ca="1">IFERROR(IF(0=LEN(ReferenceData!$AV$84),"",ReferenceData!$AV$84),"")</f>
        <v>1698</v>
      </c>
      <c r="AW84">
        <f ca="1">IFERROR(IF(0=LEN(ReferenceData!$AW$84),"",ReferenceData!$AW$84),"")</f>
        <v>1733</v>
      </c>
      <c r="AX84">
        <f ca="1">IFERROR(IF(0=LEN(ReferenceData!$AX$84),"",ReferenceData!$AX$84),"")</f>
        <v>1434</v>
      </c>
      <c r="AY84">
        <f ca="1">IFERROR(IF(0=LEN(ReferenceData!$AY$84),"",ReferenceData!$AY$84),"")</f>
        <v>1812</v>
      </c>
      <c r="AZ84">
        <f ca="1">IFERROR(IF(0=LEN(ReferenceData!$AZ$84),"",ReferenceData!$AZ$84),"")</f>
        <v>1833</v>
      </c>
      <c r="BA84">
        <f ca="1">IFERROR(IF(0=LEN(ReferenceData!$BA$84),"",ReferenceData!$BA$84),"")</f>
        <v>1976</v>
      </c>
      <c r="BB84">
        <f ca="1">IFERROR(IF(0=LEN(ReferenceData!$BB$84),"",ReferenceData!$BB$84),"")</f>
        <v>1605</v>
      </c>
      <c r="BC84">
        <f ca="1">IFERROR(IF(0=LEN(ReferenceData!$BC$84),"",ReferenceData!$BC$84),"")</f>
        <v>2025</v>
      </c>
      <c r="BD84">
        <f ca="1">IFERROR(IF(0=LEN(ReferenceData!$BD$84),"",ReferenceData!$BD$84),"")</f>
        <v>1982</v>
      </c>
      <c r="BE84">
        <f ca="1">IFERROR(IF(0=LEN(ReferenceData!$BE$84),"",ReferenceData!$BE$84),"")</f>
        <v>1957</v>
      </c>
      <c r="BF84">
        <f ca="1">IFERROR(IF(0=LEN(ReferenceData!$BF$84),"",ReferenceData!$BF$84),"")</f>
        <v>2001</v>
      </c>
      <c r="BG84">
        <f ca="1">IFERROR(IF(0=LEN(ReferenceData!$BG$84),"",ReferenceData!$BG$84),"")</f>
        <v>2457</v>
      </c>
      <c r="BH84">
        <f ca="1">IFERROR(IF(0=LEN(ReferenceData!$BH$84),"",ReferenceData!$BH$84),"")</f>
        <v>1989</v>
      </c>
      <c r="BI84">
        <f ca="1">IFERROR(IF(0=LEN(ReferenceData!$BI$84),"",ReferenceData!$BI$84),"")</f>
        <v>1682</v>
      </c>
      <c r="BJ84">
        <f ca="1">IFERROR(IF(0=LEN(ReferenceData!$BJ$84),"",ReferenceData!$BJ$84),"")</f>
        <v>1701</v>
      </c>
      <c r="BK84">
        <f ca="1">IFERROR(IF(0=LEN(ReferenceData!$BK$84),"",ReferenceData!$BK$84),"")</f>
        <v>2127</v>
      </c>
      <c r="BL84">
        <f ca="1">IFERROR(IF(0=LEN(ReferenceData!$BL$84),"",ReferenceData!$BL$84),"")</f>
        <v>1846</v>
      </c>
      <c r="BM84" t="str">
        <f ca="1">IFERROR(IF(0=LEN(ReferenceData!$BM$84),"",ReferenceData!$BM$84),"")</f>
        <v/>
      </c>
    </row>
    <row r="85" spans="1:65" x14ac:dyDescent="0.25">
      <c r="A85" t="str">
        <f>IFERROR(IF(0=LEN(ReferenceData!$A$85),"",ReferenceData!$A$85),"")</f>
        <v xml:space="preserve">            Wells Fargo &amp; Co</v>
      </c>
      <c r="B85" t="str">
        <f>IFERROR(IF(0=LEN(ReferenceData!$B$85),"",ReferenceData!$B$85),"")</f>
        <v>WFC US Equity</v>
      </c>
      <c r="C85" t="str">
        <f>IFERROR(IF(0=LEN(ReferenceData!$C$85),"",ReferenceData!$C$85),"")</f>
        <v>FC070</v>
      </c>
      <c r="D85" t="str">
        <f>IFERROR(IF(0=LEN(ReferenceData!$D$85),"",ReferenceData!$D$85),"")</f>
        <v>FDIC_TRADING_ACCT_ASSETS</v>
      </c>
      <c r="E85" t="str">
        <f>IFERROR(IF(0=LEN(ReferenceData!$E$85),"",ReferenceData!$E$85),"")</f>
        <v>Dynamic</v>
      </c>
      <c r="F85">
        <f ca="1">IFERROR(IF(0=LEN(ReferenceData!$F$85),"",ReferenceData!$F$85),"")</f>
        <v>163832</v>
      </c>
      <c r="G85">
        <f ca="1">IFERROR(IF(0=LEN(ReferenceData!$G$85),"",ReferenceData!$G$85),"")</f>
        <v>163144</v>
      </c>
      <c r="H85">
        <f ca="1">IFERROR(IF(0=LEN(ReferenceData!$H$85),"",ReferenceData!$H$85),"")</f>
        <v>163448</v>
      </c>
      <c r="I85">
        <f ca="1">IFERROR(IF(0=LEN(ReferenceData!$I$85),"",ReferenceData!$I$85),"")</f>
        <v>148459</v>
      </c>
      <c r="J85">
        <f ca="1">IFERROR(IF(0=LEN(ReferenceData!$J$85),"",ReferenceData!$J$85),"")</f>
        <v>135464</v>
      </c>
      <c r="K85">
        <f ca="1">IFERROR(IF(0=LEN(ReferenceData!$K$85),"",ReferenceData!$K$85),"")</f>
        <v>137594</v>
      </c>
      <c r="L85">
        <f ca="1">IFERROR(IF(0=LEN(ReferenceData!$L$85),"",ReferenceData!$L$85),"")</f>
        <v>146271</v>
      </c>
      <c r="M85">
        <f ca="1">IFERROR(IF(0=LEN(ReferenceData!$M$85),"",ReferenceData!$M$85),"")</f>
        <v>131457</v>
      </c>
      <c r="N85">
        <f ca="1">IFERROR(IF(0=LEN(ReferenceData!$N$85),"",ReferenceData!$N$85),"")</f>
        <v>136757</v>
      </c>
      <c r="O85">
        <f ca="1">IFERROR(IF(0=LEN(ReferenceData!$O$85),"",ReferenceData!$O$85),"")</f>
        <v>137656</v>
      </c>
      <c r="P85">
        <f ca="1">IFERROR(IF(0=LEN(ReferenceData!$P$85),"",ReferenceData!$P$85),"")</f>
        <v>140616</v>
      </c>
      <c r="Q85">
        <f ca="1">IFERROR(IF(0=LEN(ReferenceData!$Q$85),"",ReferenceData!$Q$85),"")</f>
        <v>151101</v>
      </c>
      <c r="R85">
        <f ca="1">IFERROR(IF(0=LEN(ReferenceData!$R$85),"",ReferenceData!$R$85),"")</f>
        <v>139162</v>
      </c>
      <c r="S85">
        <f ca="1">IFERROR(IF(0=LEN(ReferenceData!$S$85),"",ReferenceData!$S$85),"")</f>
        <v>147212</v>
      </c>
      <c r="T85">
        <f ca="1">IFERROR(IF(0=LEN(ReferenceData!$T$85),"",ReferenceData!$T$85),"")</f>
        <v>132611</v>
      </c>
      <c r="U85">
        <f ca="1">IFERROR(IF(0=LEN(ReferenceData!$U$85),"",ReferenceData!$U$85),"")</f>
        <v>119381</v>
      </c>
      <c r="V85">
        <f ca="1">IFERROR(IF(0=LEN(ReferenceData!$V$85),"",ReferenceData!$V$85),"")</f>
        <v>123607</v>
      </c>
      <c r="W85">
        <f ca="1">IFERROR(IF(0=LEN(ReferenceData!$W$85),"",ReferenceData!$W$85),"")</f>
        <v>111327</v>
      </c>
      <c r="X85">
        <f ca="1">IFERROR(IF(0=LEN(ReferenceData!$X$85),"",ReferenceData!$X$85),"")</f>
        <v>109230</v>
      </c>
      <c r="Y85">
        <f ca="1">IFERROR(IF(0=LEN(ReferenceData!$Y$85),"",ReferenceData!$Y$85),"")</f>
        <v>118377</v>
      </c>
      <c r="Z85">
        <f ca="1">IFERROR(IF(0=LEN(ReferenceData!$Z$85),"",ReferenceData!$Z$85),"")</f>
        <v>121507</v>
      </c>
      <c r="AA85">
        <f ca="1">IFERROR(IF(0=LEN(ReferenceData!$AA$85),"",ReferenceData!$AA$85),"")</f>
        <v>118562</v>
      </c>
      <c r="AB85">
        <f ca="1">IFERROR(IF(0=LEN(ReferenceData!$AB$85),"",ReferenceData!$AB$85),"")</f>
        <v>106509</v>
      </c>
      <c r="AC85">
        <f ca="1">IFERROR(IF(0=LEN(ReferenceData!$AC$85),"",ReferenceData!$AC$85),"")</f>
        <v>101502</v>
      </c>
      <c r="AD85">
        <f ca="1">IFERROR(IF(0=LEN(ReferenceData!$AD$85),"",ReferenceData!$AD$85),"")</f>
        <v>100315</v>
      </c>
      <c r="AE85">
        <f ca="1">IFERROR(IF(0=LEN(ReferenceData!$AE$85),"",ReferenceData!$AE$85),"")</f>
        <v>103706</v>
      </c>
      <c r="AF85">
        <f ca="1">IFERROR(IF(0=LEN(ReferenceData!$AF$85),"",ReferenceData!$AF$85),"")</f>
        <v>100001</v>
      </c>
      <c r="AG85">
        <f ca="1">IFERROR(IF(0=LEN(ReferenceData!$AG$85),"",ReferenceData!$AG$85),"")</f>
        <v>97420</v>
      </c>
      <c r="AH85">
        <f ca="1">IFERROR(IF(0=LEN(ReferenceData!$AH$85),"",ReferenceData!$AH$85),"")</f>
        <v>104040</v>
      </c>
      <c r="AI85">
        <f ca="1">IFERROR(IF(0=LEN(ReferenceData!$AI$85),"",ReferenceData!$AI$85),"")</f>
        <v>100575</v>
      </c>
      <c r="AJ85">
        <f ca="1">IFERROR(IF(0=LEN(ReferenceData!$AJ$85),"",ReferenceData!$AJ$85),"")</f>
        <v>95768</v>
      </c>
      <c r="AK85">
        <f ca="1">IFERROR(IF(0=LEN(ReferenceData!$AK$85),"",ReferenceData!$AK$85),"")</f>
        <v>91636</v>
      </c>
      <c r="AL85">
        <f ca="1">IFERROR(IF(0=LEN(ReferenceData!$AL$85),"",ReferenceData!$AL$85),"")</f>
        <v>86619</v>
      </c>
      <c r="AM85">
        <f ca="1">IFERROR(IF(0=LEN(ReferenceData!$AM$85),"",ReferenceData!$AM$85),"")</f>
        <v>85946</v>
      </c>
      <c r="AN85">
        <f ca="1">IFERROR(IF(0=LEN(ReferenceData!$AN$85),"",ReferenceData!$AN$85),"")</f>
        <v>80093</v>
      </c>
      <c r="AO85">
        <f ca="1">IFERROR(IF(0=LEN(ReferenceData!$AO$85),"",ReferenceData!$AO$85),"")</f>
        <v>73158</v>
      </c>
      <c r="AP85">
        <f ca="1">IFERROR(IF(0=LEN(ReferenceData!$AP$85),"",ReferenceData!$AP$85),"")</f>
        <v>77202</v>
      </c>
      <c r="AQ85">
        <f ca="1">IFERROR(IF(0=LEN(ReferenceData!$AQ$85),"",ReferenceData!$AQ$85),"")</f>
        <v>73894</v>
      </c>
      <c r="AR85">
        <f ca="1">IFERROR(IF(0=LEN(ReferenceData!$AR$85),"",ReferenceData!$AR$85),"")</f>
        <v>80236</v>
      </c>
      <c r="AS85">
        <f ca="1">IFERROR(IF(0=LEN(ReferenceData!$AS$85),"",ReferenceData!$AS$85),"")</f>
        <v>79278</v>
      </c>
      <c r="AT85">
        <f ca="1">IFERROR(IF(0=LEN(ReferenceData!$AT$85),"",ReferenceData!$AT$85),"")</f>
        <v>78255</v>
      </c>
      <c r="AU85">
        <f ca="1">IFERROR(IF(0=LEN(ReferenceData!$AU$85),"",ReferenceData!$AU$85),"")</f>
        <v>67755</v>
      </c>
      <c r="AV85">
        <f ca="1">IFERROR(IF(0=LEN(ReferenceData!$AV$85),"",ReferenceData!$AV$85),"")</f>
        <v>71674</v>
      </c>
      <c r="AW85">
        <f ca="1">IFERROR(IF(0=LEN(ReferenceData!$AW$85),"",ReferenceData!$AW$85),"")</f>
        <v>63753</v>
      </c>
      <c r="AX85">
        <f ca="1">IFERROR(IF(0=LEN(ReferenceData!$AX$85),"",ReferenceData!$AX$85),"")</f>
        <v>62813</v>
      </c>
      <c r="AY85">
        <f ca="1">IFERROR(IF(0=LEN(ReferenceData!$AY$85),"",ReferenceData!$AY$85),"")</f>
        <v>60203</v>
      </c>
      <c r="AZ85">
        <f ca="1">IFERROR(IF(0=LEN(ReferenceData!$AZ$85),"",ReferenceData!$AZ$85),"")</f>
        <v>58619</v>
      </c>
      <c r="BA85">
        <f ca="1">IFERROR(IF(0=LEN(ReferenceData!$BA$85),"",ReferenceData!$BA$85),"")</f>
        <v>62274</v>
      </c>
      <c r="BB85">
        <f ca="1">IFERROR(IF(0=LEN(ReferenceData!$BB$85),"",ReferenceData!$BB$85),"")</f>
        <v>57482</v>
      </c>
      <c r="BC85">
        <f ca="1">IFERROR(IF(0=LEN(ReferenceData!$BC$85),"",ReferenceData!$BC$85),"")</f>
        <v>60592</v>
      </c>
      <c r="BD85">
        <f ca="1">IFERROR(IF(0=LEN(ReferenceData!$BD$85),"",ReferenceData!$BD$85),"")</f>
        <v>64419</v>
      </c>
      <c r="BE85">
        <f ca="1">IFERROR(IF(0=LEN(ReferenceData!$BE$85),"",ReferenceData!$BE$85),"")</f>
        <v>75696</v>
      </c>
      <c r="BF85">
        <f ca="1">IFERROR(IF(0=LEN(ReferenceData!$BF$85),"",ReferenceData!$BF$85),"")</f>
        <v>77814</v>
      </c>
      <c r="BG85">
        <f ca="1">IFERROR(IF(0=LEN(ReferenceData!$BG$85),"",ReferenceData!$BG$85),"")</f>
        <v>57786</v>
      </c>
      <c r="BH85">
        <f ca="1">IFERROR(IF(0=LEN(ReferenceData!$BH$85),"",ReferenceData!$BH$85),"")</f>
        <v>54770</v>
      </c>
      <c r="BI85">
        <f ca="1">IFERROR(IF(0=LEN(ReferenceData!$BI$85),"",ReferenceData!$BI$85),"")</f>
        <v>57890</v>
      </c>
      <c r="BJ85">
        <f ca="1">IFERROR(IF(0=LEN(ReferenceData!$BJ$85),"",ReferenceData!$BJ$85),"")</f>
        <v>51414</v>
      </c>
      <c r="BK85">
        <f ca="1">IFERROR(IF(0=LEN(ReferenceData!$BK$85),"",ReferenceData!$BK$85),"")</f>
        <v>49271</v>
      </c>
      <c r="BL85">
        <f ca="1">IFERROR(IF(0=LEN(ReferenceData!$BL$85),"",ReferenceData!$BL$85),"")</f>
        <v>47132</v>
      </c>
      <c r="BM85" t="str">
        <f ca="1">IFERROR(IF(0=LEN(ReferenceData!$BM$85),"",ReferenceData!$BM$85),"")</f>
        <v/>
      </c>
    </row>
    <row r="86" spans="1:65" x14ac:dyDescent="0.25">
      <c r="A86" t="str">
        <f>IFERROR(IF(0=LEN(ReferenceData!$A$86),"",ReferenceData!$A$86),"")</f>
        <v xml:space="preserve">            Western Alliance Bancorp</v>
      </c>
      <c r="B86" t="str">
        <f>IFERROR(IF(0=LEN(ReferenceData!$B$86),"",ReferenceData!$B$86),"")</f>
        <v>WAL US Equity</v>
      </c>
      <c r="C86" t="str">
        <f>IFERROR(IF(0=LEN(ReferenceData!$C$86),"",ReferenceData!$C$86),"")</f>
        <v>FC070</v>
      </c>
      <c r="D86" t="str">
        <f>IFERROR(IF(0=LEN(ReferenceData!$D$86),"",ReferenceData!$D$86),"")</f>
        <v>FDIC_TRADING_ACCT_ASSETS</v>
      </c>
      <c r="E86" t="str">
        <f>IFERROR(IF(0=LEN(ReferenceData!$E$86),"",ReferenceData!$E$86),"")</f>
        <v>Dynamic</v>
      </c>
      <c r="F86">
        <f ca="1">IFERROR(IF(0=LEN(ReferenceData!$F$86),"",ReferenceData!$F$86),"")</f>
        <v>0</v>
      </c>
      <c r="G86">
        <f ca="1">IFERROR(IF(0=LEN(ReferenceData!$G$86),"",ReferenceData!$G$86),"")</f>
        <v>0</v>
      </c>
      <c r="H86">
        <f ca="1">IFERROR(IF(0=LEN(ReferenceData!$H$86),"",ReferenceData!$H$86),"")</f>
        <v>0</v>
      </c>
      <c r="I86">
        <f ca="1">IFERROR(IF(0=LEN(ReferenceData!$I$86),"",ReferenceData!$I$86),"")</f>
        <v>0</v>
      </c>
      <c r="J86">
        <f ca="1">IFERROR(IF(0=LEN(ReferenceData!$J$86),"",ReferenceData!$J$86),"")</f>
        <v>0</v>
      </c>
      <c r="K86">
        <f ca="1">IFERROR(IF(0=LEN(ReferenceData!$K$86),"",ReferenceData!$K$86),"")</f>
        <v>0</v>
      </c>
      <c r="L86">
        <f ca="1">IFERROR(IF(0=LEN(ReferenceData!$L$86),"",ReferenceData!$L$86),"")</f>
        <v>0</v>
      </c>
      <c r="M86">
        <f ca="1">IFERROR(IF(0=LEN(ReferenceData!$M$86),"",ReferenceData!$M$86),"")</f>
        <v>0</v>
      </c>
      <c r="N86">
        <f ca="1">IFERROR(IF(0=LEN(ReferenceData!$N$86),"",ReferenceData!$N$86),"")</f>
        <v>0</v>
      </c>
      <c r="O86">
        <f ca="1">IFERROR(IF(0=LEN(ReferenceData!$O$86),"",ReferenceData!$O$86),"")</f>
        <v>0</v>
      </c>
      <c r="P86">
        <f ca="1">IFERROR(IF(0=LEN(ReferenceData!$P$86),"",ReferenceData!$P$86),"")</f>
        <v>0</v>
      </c>
      <c r="Q86">
        <f ca="1">IFERROR(IF(0=LEN(ReferenceData!$Q$86),"",ReferenceData!$Q$86),"")</f>
        <v>0</v>
      </c>
      <c r="R86">
        <f ca="1">IFERROR(IF(0=LEN(ReferenceData!$R$86),"",ReferenceData!$R$86),"")</f>
        <v>0</v>
      </c>
      <c r="S86">
        <f ca="1">IFERROR(IF(0=LEN(ReferenceData!$S$86),"",ReferenceData!$S$86),"")</f>
        <v>0</v>
      </c>
      <c r="T86">
        <f ca="1">IFERROR(IF(0=LEN(ReferenceData!$T$86),"",ReferenceData!$T$86),"")</f>
        <v>0</v>
      </c>
      <c r="U86">
        <f ca="1">IFERROR(IF(0=LEN(ReferenceData!$U$86),"",ReferenceData!$U$86),"")</f>
        <v>0</v>
      </c>
      <c r="V86">
        <f ca="1">IFERROR(IF(0=LEN(ReferenceData!$V$86),"",ReferenceData!$V$86),"")</f>
        <v>0</v>
      </c>
      <c r="W86">
        <f ca="1">IFERROR(IF(0=LEN(ReferenceData!$W$86),"",ReferenceData!$W$86),"")</f>
        <v>0</v>
      </c>
      <c r="X86">
        <f ca="1">IFERROR(IF(0=LEN(ReferenceData!$X$86),"",ReferenceData!$X$86),"")</f>
        <v>0</v>
      </c>
      <c r="Y86">
        <f ca="1">IFERROR(IF(0=LEN(ReferenceData!$Y$86),"",ReferenceData!$Y$86),"")</f>
        <v>0</v>
      </c>
      <c r="Z86">
        <f ca="1">IFERROR(IF(0=LEN(ReferenceData!$Z$86),"",ReferenceData!$Z$86),"")</f>
        <v>0</v>
      </c>
      <c r="AA86">
        <f ca="1">IFERROR(IF(0=LEN(ReferenceData!$AA$86),"",ReferenceData!$AA$86),"")</f>
        <v>0</v>
      </c>
      <c r="AB86">
        <f ca="1">IFERROR(IF(0=LEN(ReferenceData!$AB$86),"",ReferenceData!$AB$86),"")</f>
        <v>0</v>
      </c>
      <c r="AC86">
        <f ca="1">IFERROR(IF(0=LEN(ReferenceData!$AC$86),"",ReferenceData!$AC$86),"")</f>
        <v>0</v>
      </c>
      <c r="AD86">
        <f ca="1">IFERROR(IF(0=LEN(ReferenceData!$AD$86),"",ReferenceData!$AD$86),"")</f>
        <v>0</v>
      </c>
      <c r="AE86">
        <f ca="1">IFERROR(IF(0=LEN(ReferenceData!$AE$86),"",ReferenceData!$AE$86),"")</f>
        <v>0</v>
      </c>
      <c r="AF86">
        <f ca="1">IFERROR(IF(0=LEN(ReferenceData!$AF$86),"",ReferenceData!$AF$86),"")</f>
        <v>0</v>
      </c>
      <c r="AG86">
        <f ca="1">IFERROR(IF(0=LEN(ReferenceData!$AG$86),"",ReferenceData!$AG$86),"")</f>
        <v>0</v>
      </c>
      <c r="AH86">
        <f ca="1">IFERROR(IF(0=LEN(ReferenceData!$AH$86),"",ReferenceData!$AH$86),"")</f>
        <v>0</v>
      </c>
      <c r="AI86">
        <f ca="1">IFERROR(IF(0=LEN(ReferenceData!$AI$86),"",ReferenceData!$AI$86),"")</f>
        <v>0</v>
      </c>
      <c r="AJ86">
        <f ca="1">IFERROR(IF(0=LEN(ReferenceData!$AJ$86),"",ReferenceData!$AJ$86),"")</f>
        <v>0</v>
      </c>
      <c r="AK86">
        <f ca="1">IFERROR(IF(0=LEN(ReferenceData!$AK$86),"",ReferenceData!$AK$86),"")</f>
        <v>1.0189999999999999</v>
      </c>
      <c r="AL86">
        <f ca="1">IFERROR(IF(0=LEN(ReferenceData!$AL$86),"",ReferenceData!$AL$86),"")</f>
        <v>1.0529999999999999</v>
      </c>
      <c r="AM86">
        <f ca="1">IFERROR(IF(0=LEN(ReferenceData!$AM$86),"",ReferenceData!$AM$86),"")</f>
        <v>1.2789999999999999</v>
      </c>
      <c r="AN86">
        <f ca="1">IFERROR(IF(0=LEN(ReferenceData!$AN$86),"",ReferenceData!$AN$86),"")</f>
        <v>1.3260000000000001</v>
      </c>
      <c r="AO86">
        <f ca="1">IFERROR(IF(0=LEN(ReferenceData!$AO$86),"",ReferenceData!$AO$86),"")</f>
        <v>1.381</v>
      </c>
      <c r="AP86">
        <f ca="1">IFERROR(IF(0=LEN(ReferenceData!$AP$86),"",ReferenceData!$AP$86),"")</f>
        <v>1.4810000000000001</v>
      </c>
      <c r="AQ86">
        <f ca="1">IFERROR(IF(0=LEN(ReferenceData!$AQ$86),"",ReferenceData!$AQ$86),"")</f>
        <v>1.5369999999999999</v>
      </c>
      <c r="AR86">
        <f ca="1">IFERROR(IF(0=LEN(ReferenceData!$AR$86),"",ReferenceData!$AR$86),"")</f>
        <v>1.7010000000000001</v>
      </c>
      <c r="AS86">
        <f ca="1">IFERROR(IF(0=LEN(ReferenceData!$AS$86),"",ReferenceData!$AS$86),"")</f>
        <v>1.788</v>
      </c>
      <c r="AT86">
        <f ca="1">IFERROR(IF(0=LEN(ReferenceData!$AT$86),"",ReferenceData!$AT$86),"")</f>
        <v>1.8580000000000001</v>
      </c>
      <c r="AU86">
        <f ca="1">IFERROR(IF(0=LEN(ReferenceData!$AU$86),"",ReferenceData!$AU$86),"")</f>
        <v>1.9350000000000001</v>
      </c>
      <c r="AV86">
        <f ca="1">IFERROR(IF(0=LEN(ReferenceData!$AV$86),"",ReferenceData!$AV$86),"")</f>
        <v>2.7930000000000001</v>
      </c>
      <c r="AW86">
        <f ca="1">IFERROR(IF(0=LEN(ReferenceData!$AW$86),"",ReferenceData!$AW$86),"")</f>
        <v>2.9430000000000001</v>
      </c>
      <c r="AX86">
        <f ca="1">IFERROR(IF(0=LEN(ReferenceData!$AX$86),"",ReferenceData!$AX$86),"")</f>
        <v>5.4219999999999997</v>
      </c>
      <c r="AY86">
        <f ca="1">IFERROR(IF(0=LEN(ReferenceData!$AY$86),"",ReferenceData!$AY$86),"")</f>
        <v>3.6320000000000001</v>
      </c>
      <c r="AZ86">
        <f ca="1">IFERROR(IF(0=LEN(ReferenceData!$AZ$86),"",ReferenceData!$AZ$86),"")</f>
        <v>3.9870000000000001</v>
      </c>
      <c r="BA86">
        <f ca="1">IFERROR(IF(0=LEN(ReferenceData!$BA$86),"",ReferenceData!$BA$86),"")</f>
        <v>4.827</v>
      </c>
      <c r="BB86">
        <f ca="1">IFERROR(IF(0=LEN(ReferenceData!$BB$86),"",ReferenceData!$BB$86),"")</f>
        <v>5.1070000000000002</v>
      </c>
      <c r="BC86">
        <f ca="1">IFERROR(IF(0=LEN(ReferenceData!$BC$86),"",ReferenceData!$BC$86),"")</f>
        <v>5.5869999999999997</v>
      </c>
      <c r="BD86">
        <f ca="1">IFERROR(IF(0=LEN(ReferenceData!$BD$86),"",ReferenceData!$BD$86),"")</f>
        <v>6.1630000000000003</v>
      </c>
      <c r="BE86">
        <f ca="1">IFERROR(IF(0=LEN(ReferenceData!$BE$86),"",ReferenceData!$BE$86),"")</f>
        <v>6.3239999999999998</v>
      </c>
      <c r="BF86">
        <f ca="1">IFERROR(IF(0=LEN(ReferenceData!$BF$86),"",ReferenceData!$BF$86),"")</f>
        <v>7.4749999999999996</v>
      </c>
      <c r="BG86">
        <f ca="1">IFERROR(IF(0=LEN(ReferenceData!$BG$86),"",ReferenceData!$BG$86),"")</f>
        <v>8.0020000000000007</v>
      </c>
      <c r="BH86">
        <f ca="1">IFERROR(IF(0=LEN(ReferenceData!$BH$86),"",ReferenceData!$BH$86),"")</f>
        <v>7.718</v>
      </c>
      <c r="BI86">
        <f ca="1">IFERROR(IF(0=LEN(ReferenceData!$BI$86),"",ReferenceData!$BI$86),"")</f>
        <v>10.856999999999999</v>
      </c>
      <c r="BJ86">
        <f ca="1">IFERROR(IF(0=LEN(ReferenceData!$BJ$86),"",ReferenceData!$BJ$86),"")</f>
        <v>15.067</v>
      </c>
      <c r="BK86">
        <f ca="1">IFERROR(IF(0=LEN(ReferenceData!$BK$86),"",ReferenceData!$BK$86),"")</f>
        <v>33.454999999999998</v>
      </c>
      <c r="BL86">
        <f ca="1">IFERROR(IF(0=LEN(ReferenceData!$BL$86),"",ReferenceData!$BL$86),"")</f>
        <v>41.534999999999997</v>
      </c>
      <c r="BM86" t="str">
        <f ca="1">IFERROR(IF(0=LEN(ReferenceData!$BM$86),"",ReferenceData!$BM$86),"")</f>
        <v/>
      </c>
    </row>
    <row r="87" spans="1:65" x14ac:dyDescent="0.25">
      <c r="A87" t="str">
        <f>IFERROR(IF(0=LEN(ReferenceData!$A$87),"",ReferenceData!$A$87),"")</f>
        <v xml:space="preserve">            Zions Bancorp NA</v>
      </c>
      <c r="B87" t="str">
        <f>IFERROR(IF(0=LEN(ReferenceData!$B$87),"",ReferenceData!$B$87),"")</f>
        <v>ZION US Equity</v>
      </c>
      <c r="C87" t="str">
        <f>IFERROR(IF(0=LEN(ReferenceData!$C$87),"",ReferenceData!$C$87),"")</f>
        <v>FC070</v>
      </c>
      <c r="D87" t="str">
        <f>IFERROR(IF(0=LEN(ReferenceData!$D$87),"",ReferenceData!$D$87),"")</f>
        <v>FDIC_TRADING_ACCT_ASSETS</v>
      </c>
      <c r="E87" t="str">
        <f>IFERROR(IF(0=LEN(ReferenceData!$E$87),"",ReferenceData!$E$87),"")</f>
        <v>Dynamic</v>
      </c>
      <c r="F87" t="str">
        <f ca="1">IFERROR(IF(0=LEN(ReferenceData!$F$87),"",ReferenceData!$F$87),"")</f>
        <v/>
      </c>
      <c r="G87" t="str">
        <f ca="1">IFERROR(IF(0=LEN(ReferenceData!$G$87),"",ReferenceData!$G$87),"")</f>
        <v/>
      </c>
      <c r="H87">
        <f ca="1">IFERROR(IF(0=LEN(ReferenceData!$H$87),"",ReferenceData!$H$87),"")</f>
        <v>23.902999999999999</v>
      </c>
      <c r="I87">
        <f ca="1">IFERROR(IF(0=LEN(ReferenceData!$I$87),"",ReferenceData!$I$87),"")</f>
        <v>59.475999999999999</v>
      </c>
      <c r="J87">
        <f ca="1">IFERROR(IF(0=LEN(ReferenceData!$J$87),"",ReferenceData!$J$87),"")</f>
        <v>48.262</v>
      </c>
      <c r="K87">
        <f ca="1">IFERROR(IF(0=LEN(ReferenceData!$K$87),"",ReferenceData!$K$87),"")</f>
        <v>31.34</v>
      </c>
      <c r="L87">
        <f ca="1">IFERROR(IF(0=LEN(ReferenceData!$L$87),"",ReferenceData!$L$87),"")</f>
        <v>31.782</v>
      </c>
      <c r="M87">
        <f ca="1">IFERROR(IF(0=LEN(ReferenceData!$M$87),"",ReferenceData!$M$87),"")</f>
        <v>12.488</v>
      </c>
      <c r="N87">
        <f ca="1">IFERROR(IF(0=LEN(ReferenceData!$N$87),"",ReferenceData!$N$87),"")</f>
        <v>70.521000000000001</v>
      </c>
      <c r="O87">
        <f ca="1">IFERROR(IF(0=LEN(ReferenceData!$O$87),"",ReferenceData!$O$87),"")</f>
        <v>736.63499999999999</v>
      </c>
      <c r="P87">
        <f ca="1">IFERROR(IF(0=LEN(ReferenceData!$P$87),"",ReferenceData!$P$87),"")</f>
        <v>397.50400000000002</v>
      </c>
      <c r="Q87">
        <f ca="1">IFERROR(IF(0=LEN(ReferenceData!$Q$87),"",ReferenceData!$Q$87),"")</f>
        <v>465.65100000000001</v>
      </c>
      <c r="R87">
        <f ca="1">IFERROR(IF(0=LEN(ReferenceData!$R$87),"",ReferenceData!$R$87),"")</f>
        <v>575.38800000000003</v>
      </c>
      <c r="S87">
        <f ca="1">IFERROR(IF(0=LEN(ReferenceData!$S$87),"",ReferenceData!$S$87),"")</f>
        <v>547.255</v>
      </c>
      <c r="T87">
        <f ca="1">IFERROR(IF(0=LEN(ReferenceData!$T$87),"",ReferenceData!$T$87),"")</f>
        <v>448.48</v>
      </c>
      <c r="U87">
        <f ca="1">IFERROR(IF(0=LEN(ReferenceData!$U$87),"",ReferenceData!$U$87),"")</f>
        <v>426.77600000000001</v>
      </c>
      <c r="V87" t="str">
        <f ca="1">IFERROR(IF(0=LEN(ReferenceData!$V$87),"",ReferenceData!$V$87),"")</f>
        <v/>
      </c>
      <c r="W87" t="str">
        <f ca="1">IFERROR(IF(0=LEN(ReferenceData!$W$87),"",ReferenceData!$W$87),"")</f>
        <v/>
      </c>
      <c r="X87" t="str">
        <f ca="1">IFERROR(IF(0=LEN(ReferenceData!$X$87),"",ReferenceData!$X$87),"")</f>
        <v/>
      </c>
      <c r="Y87" t="str">
        <f ca="1">IFERROR(IF(0=LEN(ReferenceData!$Y$87),"",ReferenceData!$Y$87),"")</f>
        <v/>
      </c>
      <c r="Z87" t="str">
        <f ca="1">IFERROR(IF(0=LEN(ReferenceData!$Z$87),"",ReferenceData!$Z$87),"")</f>
        <v/>
      </c>
      <c r="AA87" t="str">
        <f ca="1">IFERROR(IF(0=LEN(ReferenceData!$AA$87),"",ReferenceData!$AA$87),"")</f>
        <v/>
      </c>
      <c r="AB87" t="str">
        <f ca="1">IFERROR(IF(0=LEN(ReferenceData!$AB$87),"",ReferenceData!$AB$87),"")</f>
        <v/>
      </c>
      <c r="AC87" t="str">
        <f ca="1">IFERROR(IF(0=LEN(ReferenceData!$AC$87),"",ReferenceData!$AC$87),"")</f>
        <v/>
      </c>
      <c r="AD87" t="str">
        <f ca="1">IFERROR(IF(0=LEN(ReferenceData!$AD$87),"",ReferenceData!$AD$87),"")</f>
        <v/>
      </c>
      <c r="AE87" t="str">
        <f ca="1">IFERROR(IF(0=LEN(ReferenceData!$AE$87),"",ReferenceData!$AE$87),"")</f>
        <v/>
      </c>
      <c r="AF87" t="str">
        <f ca="1">IFERROR(IF(0=LEN(ReferenceData!$AF$87),"",ReferenceData!$AF$87),"")</f>
        <v/>
      </c>
      <c r="AG87" t="str">
        <f ca="1">IFERROR(IF(0=LEN(ReferenceData!$AG$87),"",ReferenceData!$AG$87),"")</f>
        <v/>
      </c>
      <c r="AH87" t="str">
        <f ca="1">IFERROR(IF(0=LEN(ReferenceData!$AH$87),"",ReferenceData!$AH$87),"")</f>
        <v/>
      </c>
      <c r="AI87" t="str">
        <f ca="1">IFERROR(IF(0=LEN(ReferenceData!$AI$87),"",ReferenceData!$AI$87),"")</f>
        <v/>
      </c>
      <c r="AJ87" t="str">
        <f ca="1">IFERROR(IF(0=LEN(ReferenceData!$AJ$87),"",ReferenceData!$AJ$87),"")</f>
        <v/>
      </c>
      <c r="AK87" t="str">
        <f ca="1">IFERROR(IF(0=LEN(ReferenceData!$AK$87),"",ReferenceData!$AK$87),"")</f>
        <v/>
      </c>
      <c r="AL87" t="str">
        <f ca="1">IFERROR(IF(0=LEN(ReferenceData!$AL$87),"",ReferenceData!$AL$87),"")</f>
        <v/>
      </c>
      <c r="AM87" t="str">
        <f ca="1">IFERROR(IF(0=LEN(ReferenceData!$AM$87),"",ReferenceData!$AM$87),"")</f>
        <v/>
      </c>
      <c r="AN87" t="str">
        <f ca="1">IFERROR(IF(0=LEN(ReferenceData!$AN$87),"",ReferenceData!$AN$87),"")</f>
        <v/>
      </c>
      <c r="AO87" t="str">
        <f ca="1">IFERROR(IF(0=LEN(ReferenceData!$AO$87),"",ReferenceData!$AO$87),"")</f>
        <v/>
      </c>
      <c r="AP87" t="str">
        <f ca="1">IFERROR(IF(0=LEN(ReferenceData!$AP$87),"",ReferenceData!$AP$87),"")</f>
        <v/>
      </c>
      <c r="AQ87" t="str">
        <f ca="1">IFERROR(IF(0=LEN(ReferenceData!$AQ$87),"",ReferenceData!$AQ$87),"")</f>
        <v/>
      </c>
      <c r="AR87" t="str">
        <f ca="1">IFERROR(IF(0=LEN(ReferenceData!$AR$87),"",ReferenceData!$AR$87),"")</f>
        <v/>
      </c>
      <c r="AS87" t="str">
        <f ca="1">IFERROR(IF(0=LEN(ReferenceData!$AS$87),"",ReferenceData!$AS$87),"")</f>
        <v/>
      </c>
      <c r="AT87" t="str">
        <f ca="1">IFERROR(IF(0=LEN(ReferenceData!$AT$87),"",ReferenceData!$AT$87),"")</f>
        <v/>
      </c>
      <c r="AU87" t="str">
        <f ca="1">IFERROR(IF(0=LEN(ReferenceData!$AU$87),"",ReferenceData!$AU$87),"")</f>
        <v/>
      </c>
      <c r="AV87" t="str">
        <f ca="1">IFERROR(IF(0=LEN(ReferenceData!$AV$87),"",ReferenceData!$AV$87),"")</f>
        <v/>
      </c>
      <c r="AW87" t="str">
        <f ca="1">IFERROR(IF(0=LEN(ReferenceData!$AW$87),"",ReferenceData!$AW$87),"")</f>
        <v/>
      </c>
      <c r="AX87" t="str">
        <f ca="1">IFERROR(IF(0=LEN(ReferenceData!$AX$87),"",ReferenceData!$AX$87),"")</f>
        <v/>
      </c>
      <c r="AY87" t="str">
        <f ca="1">IFERROR(IF(0=LEN(ReferenceData!$AY$87),"",ReferenceData!$AY$87),"")</f>
        <v/>
      </c>
      <c r="AZ87" t="str">
        <f ca="1">IFERROR(IF(0=LEN(ReferenceData!$AZ$87),"",ReferenceData!$AZ$87),"")</f>
        <v/>
      </c>
      <c r="BA87" t="str">
        <f ca="1">IFERROR(IF(0=LEN(ReferenceData!$BA$87),"",ReferenceData!$BA$87),"")</f>
        <v/>
      </c>
      <c r="BB87" t="str">
        <f ca="1">IFERROR(IF(0=LEN(ReferenceData!$BB$87),"",ReferenceData!$BB$87),"")</f>
        <v/>
      </c>
      <c r="BC87" t="str">
        <f ca="1">IFERROR(IF(0=LEN(ReferenceData!$BC$87),"",ReferenceData!$BC$87),"")</f>
        <v/>
      </c>
      <c r="BD87" t="str">
        <f ca="1">IFERROR(IF(0=LEN(ReferenceData!$BD$87),"",ReferenceData!$BD$87),"")</f>
        <v/>
      </c>
      <c r="BE87" t="str">
        <f ca="1">IFERROR(IF(0=LEN(ReferenceData!$BE$87),"",ReferenceData!$BE$87),"")</f>
        <v/>
      </c>
      <c r="BF87" t="str">
        <f ca="1">IFERROR(IF(0=LEN(ReferenceData!$BF$87),"",ReferenceData!$BF$87),"")</f>
        <v/>
      </c>
      <c r="BG87" t="str">
        <f ca="1">IFERROR(IF(0=LEN(ReferenceData!$BG$87),"",ReferenceData!$BG$87),"")</f>
        <v/>
      </c>
      <c r="BH87" t="str">
        <f ca="1">IFERROR(IF(0=LEN(ReferenceData!$BH$87),"",ReferenceData!$BH$87),"")</f>
        <v/>
      </c>
      <c r="BI87" t="str">
        <f ca="1">IFERROR(IF(0=LEN(ReferenceData!$BI$87),"",ReferenceData!$BI$87),"")</f>
        <v/>
      </c>
      <c r="BJ87" t="str">
        <f ca="1">IFERROR(IF(0=LEN(ReferenceData!$BJ$87),"",ReferenceData!$BJ$87),"")</f>
        <v/>
      </c>
      <c r="BK87" t="str">
        <f ca="1">IFERROR(IF(0=LEN(ReferenceData!$BK$87),"",ReferenceData!$BK$87),"")</f>
        <v/>
      </c>
      <c r="BL87" t="str">
        <f ca="1">IFERROR(IF(0=LEN(ReferenceData!$BL$87),"",ReferenceData!$BL$87),"")</f>
        <v/>
      </c>
      <c r="BM87" t="str">
        <f ca="1">IFERROR(IF(0=LEN(ReferenceData!$BM$87),"",ReferenceData!$BM$87),"")</f>
        <v/>
      </c>
    </row>
    <row r="88" spans="1:65" x14ac:dyDescent="0.25">
      <c r="A88" t="str">
        <f>IFERROR(IF(0=LEN(ReferenceData!$A$88),"",ReferenceData!$A$88),"")</f>
        <v>Balance Sheet - Assets - Investments in Real Estate Ventures</v>
      </c>
      <c r="B88" t="str">
        <f>IFERROR(IF(0=LEN(ReferenceData!$B$88),"",ReferenceData!$B$88),"")</f>
        <v/>
      </c>
      <c r="C88" t="str">
        <f>IFERROR(IF(0=LEN(ReferenceData!$C$88),"",ReferenceData!$C$88),"")</f>
        <v/>
      </c>
      <c r="D88" t="str">
        <f>IFERROR(IF(0=LEN(ReferenceData!$D$88),"",ReferenceData!$D$88),"")</f>
        <v/>
      </c>
      <c r="E88" t="str">
        <f>IFERROR(IF(0=LEN(ReferenceData!$E$88),"",ReferenceData!$E$88),"")</f>
        <v>Sum</v>
      </c>
      <c r="F88">
        <f ca="1">IFERROR(IF(0=LEN(ReferenceData!$F$88),"",ReferenceData!$F$88),"")</f>
        <v>51059.892999999989</v>
      </c>
      <c r="G88">
        <f ca="1">IFERROR(IF(0=LEN(ReferenceData!$G$88),"",ReferenceData!$G$88),"")</f>
        <v>48720.028999999995</v>
      </c>
      <c r="H88">
        <f ca="1">IFERROR(IF(0=LEN(ReferenceData!$H$88),"",ReferenceData!$H$88),"")</f>
        <v>47939.262999999999</v>
      </c>
      <c r="I88">
        <f ca="1">IFERROR(IF(0=LEN(ReferenceData!$I$88),"",ReferenceData!$I$88),"")</f>
        <v>45077.364000000001</v>
      </c>
      <c r="J88">
        <f ca="1">IFERROR(IF(0=LEN(ReferenceData!$J$88),"",ReferenceData!$J$88),"")</f>
        <v>45920.218000000001</v>
      </c>
      <c r="K88">
        <f ca="1">IFERROR(IF(0=LEN(ReferenceData!$K$88),"",ReferenceData!$K$88),"")</f>
        <v>43353.507000000005</v>
      </c>
      <c r="L88">
        <f ca="1">IFERROR(IF(0=LEN(ReferenceData!$L$88),"",ReferenceData!$L$88),"")</f>
        <v>43410.347000000002</v>
      </c>
      <c r="M88">
        <f ca="1">IFERROR(IF(0=LEN(ReferenceData!$M$88),"",ReferenceData!$M$88),"")</f>
        <v>40799.152999999998</v>
      </c>
      <c r="N88">
        <f ca="1">IFERROR(IF(0=LEN(ReferenceData!$N$88),"",ReferenceData!$N$88),"")</f>
        <v>40666.232000000004</v>
      </c>
      <c r="O88">
        <f ca="1">IFERROR(IF(0=LEN(ReferenceData!$O$88),"",ReferenceData!$O$88),"")</f>
        <v>38724.061000000002</v>
      </c>
      <c r="P88">
        <f ca="1">IFERROR(IF(0=LEN(ReferenceData!$P$88),"",ReferenceData!$P$88),"")</f>
        <v>37987.69</v>
      </c>
      <c r="Q88">
        <f ca="1">IFERROR(IF(0=LEN(ReferenceData!$Q$88),"",ReferenceData!$Q$88),"")</f>
        <v>36423.46</v>
      </c>
      <c r="R88">
        <f ca="1">IFERROR(IF(0=LEN(ReferenceData!$R$88),"",ReferenceData!$R$88),"")</f>
        <v>35632.097000000002</v>
      </c>
      <c r="S88">
        <f ca="1">IFERROR(IF(0=LEN(ReferenceData!$S$88),"",ReferenceData!$S$88),"")</f>
        <v>33002.275999999998</v>
      </c>
      <c r="T88">
        <f ca="1">IFERROR(IF(0=LEN(ReferenceData!$T$88),"",ReferenceData!$T$88),"")</f>
        <v>32259.123999999996</v>
      </c>
      <c r="U88">
        <f ca="1">IFERROR(IF(0=LEN(ReferenceData!$U$88),"",ReferenceData!$U$88),"")</f>
        <v>30763.975999999999</v>
      </c>
      <c r="V88">
        <f ca="1">IFERROR(IF(0=LEN(ReferenceData!$V$88),"",ReferenceData!$V$88),"")</f>
        <v>30947.846999999998</v>
      </c>
      <c r="W88">
        <f ca="1">IFERROR(IF(0=LEN(ReferenceData!$W$88),"",ReferenceData!$W$88),"")</f>
        <v>28868.430999999997</v>
      </c>
      <c r="X88">
        <f ca="1">IFERROR(IF(0=LEN(ReferenceData!$X$88),"",ReferenceData!$X$88),"")</f>
        <v>28542.569000000003</v>
      </c>
      <c r="Y88">
        <f ca="1">IFERROR(IF(0=LEN(ReferenceData!$Y$88),"",ReferenceData!$Y$88),"")</f>
        <v>27978.218000000001</v>
      </c>
      <c r="Z88">
        <f ca="1">IFERROR(IF(0=LEN(ReferenceData!$Z$88),"",ReferenceData!$Z$88),"")</f>
        <v>27876.769000000004</v>
      </c>
      <c r="AA88">
        <f ca="1">IFERROR(IF(0=LEN(ReferenceData!$AA$88),"",ReferenceData!$AA$88),"")</f>
        <v>26273.810999999998</v>
      </c>
      <c r="AB88">
        <f ca="1">IFERROR(IF(0=LEN(ReferenceData!$AB$88),"",ReferenceData!$AB$88),"")</f>
        <v>25429.909</v>
      </c>
      <c r="AC88">
        <f ca="1">IFERROR(IF(0=LEN(ReferenceData!$AC$88),"",ReferenceData!$AC$88),"")</f>
        <v>24524.448000000004</v>
      </c>
      <c r="AD88">
        <f ca="1">IFERROR(IF(0=LEN(ReferenceData!$AD$88),"",ReferenceData!$AD$88),"")</f>
        <v>23502.986000000004</v>
      </c>
      <c r="AE88">
        <f ca="1">IFERROR(IF(0=LEN(ReferenceData!$AE$88),"",ReferenceData!$AE$88),"")</f>
        <v>22569.489000000001</v>
      </c>
      <c r="AF88">
        <f ca="1">IFERROR(IF(0=LEN(ReferenceData!$AF$88),"",ReferenceData!$AF$88),"")</f>
        <v>22114.716</v>
      </c>
      <c r="AG88">
        <f ca="1">IFERROR(IF(0=LEN(ReferenceData!$AG$88),"",ReferenceData!$AG$88),"")</f>
        <v>21700.760999999999</v>
      </c>
      <c r="AH88">
        <f ca="1">IFERROR(IF(0=LEN(ReferenceData!$AH$88),"",ReferenceData!$AH$88),"")</f>
        <v>21385.896000000001</v>
      </c>
      <c r="AI88">
        <f ca="1">IFERROR(IF(0=LEN(ReferenceData!$AI$88),"",ReferenceData!$AI$88),"")</f>
        <v>21882.916000000005</v>
      </c>
      <c r="AJ88">
        <f ca="1">IFERROR(IF(0=LEN(ReferenceData!$AJ$88),"",ReferenceData!$AJ$88),"")</f>
        <v>21780.267</v>
      </c>
      <c r="AK88">
        <f ca="1">IFERROR(IF(0=LEN(ReferenceData!$AK$88),"",ReferenceData!$AK$88),"")</f>
        <v>21694.271000000001</v>
      </c>
      <c r="AL88">
        <f ca="1">IFERROR(IF(0=LEN(ReferenceData!$AL$88),"",ReferenceData!$AL$88),"")</f>
        <v>21817.346000000001</v>
      </c>
      <c r="AM88">
        <f ca="1">IFERROR(IF(0=LEN(ReferenceData!$AM$88),"",ReferenceData!$AM$88),"")</f>
        <v>20110.342000000001</v>
      </c>
      <c r="AN88">
        <f ca="1">IFERROR(IF(0=LEN(ReferenceData!$AN$88),"",ReferenceData!$AN$88),"")</f>
        <v>19752.318000000003</v>
      </c>
      <c r="AO88">
        <f ca="1">IFERROR(IF(0=LEN(ReferenceData!$AO$88),"",ReferenceData!$AO$88),"")</f>
        <v>19541.682999999997</v>
      </c>
      <c r="AP88">
        <f ca="1">IFERROR(IF(0=LEN(ReferenceData!$AP$88),"",ReferenceData!$AP$88),"")</f>
        <v>19693.377</v>
      </c>
      <c r="AQ88">
        <f ca="1">IFERROR(IF(0=LEN(ReferenceData!$AQ$88),"",ReferenceData!$AQ$88),"")</f>
        <v>18593.588</v>
      </c>
      <c r="AR88">
        <f ca="1">IFERROR(IF(0=LEN(ReferenceData!$AR$88),"",ReferenceData!$AR$88),"")</f>
        <v>18515.771000000001</v>
      </c>
      <c r="AS88">
        <f ca="1">IFERROR(IF(0=LEN(ReferenceData!$AS$88),"",ReferenceData!$AS$88),"")</f>
        <v>18171.918000000001</v>
      </c>
      <c r="AT88">
        <f ca="1">IFERROR(IF(0=LEN(ReferenceData!$AT$88),"",ReferenceData!$AT$88),"")</f>
        <v>18320.863999999994</v>
      </c>
      <c r="AU88">
        <f ca="1">IFERROR(IF(0=LEN(ReferenceData!$AU$88),"",ReferenceData!$AU$88),"")</f>
        <v>17567.386999999999</v>
      </c>
      <c r="AV88">
        <f ca="1">IFERROR(IF(0=LEN(ReferenceData!$AV$88),"",ReferenceData!$AV$88),"")</f>
        <v>17431.246999999999</v>
      </c>
      <c r="AW88">
        <f ca="1">IFERROR(IF(0=LEN(ReferenceData!$AW$88),"",ReferenceData!$AW$88),"")</f>
        <v>16750.732999999997</v>
      </c>
      <c r="AX88">
        <f ca="1">IFERROR(IF(0=LEN(ReferenceData!$AX$88),"",ReferenceData!$AX$88),"")</f>
        <v>16728.906999999996</v>
      </c>
      <c r="AY88">
        <f ca="1">IFERROR(IF(0=LEN(ReferenceData!$AY$88),"",ReferenceData!$AY$88),"")</f>
        <v>16422.701999999997</v>
      </c>
      <c r="AZ88">
        <f ca="1">IFERROR(IF(0=LEN(ReferenceData!$AZ$88),"",ReferenceData!$AZ$88),"")</f>
        <v>10833.123000000001</v>
      </c>
      <c r="BA88">
        <f ca="1">IFERROR(IF(0=LEN(ReferenceData!$BA$88),"",ReferenceData!$BA$88),"")</f>
        <v>10804.23</v>
      </c>
      <c r="BB88">
        <f ca="1">IFERROR(IF(0=LEN(ReferenceData!$BB$88),"",ReferenceData!$BB$88),"")</f>
        <v>10821.723</v>
      </c>
      <c r="BC88">
        <f ca="1">IFERROR(IF(0=LEN(ReferenceData!$BC$88),"",ReferenceData!$BC$88),"")</f>
        <v>10940.425000000001</v>
      </c>
      <c r="BD88">
        <f ca="1">IFERROR(IF(0=LEN(ReferenceData!$BD$88),"",ReferenceData!$BD$88),"")</f>
        <v>10989.222</v>
      </c>
      <c r="BE88">
        <f ca="1">IFERROR(IF(0=LEN(ReferenceData!$BE$88),"",ReferenceData!$BE$88),"")</f>
        <v>11138.161000000002</v>
      </c>
      <c r="BF88">
        <f ca="1">IFERROR(IF(0=LEN(ReferenceData!$BF$88),"",ReferenceData!$BF$88),"")</f>
        <v>11495.938000000002</v>
      </c>
      <c r="BG88">
        <f ca="1">IFERROR(IF(0=LEN(ReferenceData!$BG$88),"",ReferenceData!$BG$88),"")</f>
        <v>11563.377</v>
      </c>
      <c r="BH88">
        <f ca="1">IFERROR(IF(0=LEN(ReferenceData!$BH$88),"",ReferenceData!$BH$88),"")</f>
        <v>11726.794</v>
      </c>
      <c r="BI88">
        <f ca="1">IFERROR(IF(0=LEN(ReferenceData!$BI$88),"",ReferenceData!$BI$88),"")</f>
        <v>11721.286000000002</v>
      </c>
      <c r="BJ88">
        <f ca="1">IFERROR(IF(0=LEN(ReferenceData!$BJ$88),"",ReferenceData!$BJ$88),"")</f>
        <v>12092.250000000004</v>
      </c>
      <c r="BK88">
        <f ca="1">IFERROR(IF(0=LEN(ReferenceData!$BK$88),"",ReferenceData!$BK$88),"")</f>
        <v>11850.544</v>
      </c>
      <c r="BL88">
        <f ca="1">IFERROR(IF(0=LEN(ReferenceData!$BL$88),"",ReferenceData!$BL$88),"")</f>
        <v>12009.462</v>
      </c>
      <c r="BM88" t="str">
        <f ca="1">IFERROR(IF(0=LEN(ReferenceData!$BM$88),"",ReferenceData!$BM$88),"")</f>
        <v/>
      </c>
    </row>
    <row r="89" spans="1:65" x14ac:dyDescent="0.25">
      <c r="A89" t="str">
        <f>IFERROR(IF(0=LEN(ReferenceData!$A$89),"",ReferenceData!$A$89),"")</f>
        <v xml:space="preserve">            Bank of America Corp</v>
      </c>
      <c r="B89" t="str">
        <f>IFERROR(IF(0=LEN(ReferenceData!$B$89),"",ReferenceData!$B$89),"")</f>
        <v>BAC US Equity</v>
      </c>
      <c r="C89" t="str">
        <f>IFERROR(IF(0=LEN(ReferenceData!$C$89),"",ReferenceData!$C$89),"")</f>
        <v>FR531</v>
      </c>
      <c r="D89" t="str">
        <f>IFERROR(IF(0=LEN(ReferenceData!$D$89),"",ReferenceData!$D$89),"")</f>
        <v>FED_INVT_IN_RE_VENTURES</v>
      </c>
      <c r="E89" t="str">
        <f>IFERROR(IF(0=LEN(ReferenceData!$E$89),"",ReferenceData!$E$89),"")</f>
        <v>Dynamic</v>
      </c>
      <c r="F89">
        <f ca="1">IFERROR(IF(0=LEN(ReferenceData!$F$89),"",ReferenceData!$F$89),"")</f>
        <v>17848</v>
      </c>
      <c r="G89">
        <f ca="1">IFERROR(IF(0=LEN(ReferenceData!$G$89),"",ReferenceData!$G$89),"")</f>
        <v>17148</v>
      </c>
      <c r="H89">
        <f ca="1">IFERROR(IF(0=LEN(ReferenceData!$H$89),"",ReferenceData!$H$89),"")</f>
        <v>17082</v>
      </c>
      <c r="I89">
        <f ca="1">IFERROR(IF(0=LEN(ReferenceData!$I$89),"",ReferenceData!$I$89),"")</f>
        <v>16647</v>
      </c>
      <c r="J89">
        <f ca="1">IFERROR(IF(0=LEN(ReferenceData!$J$89),"",ReferenceData!$J$89),"")</f>
        <v>16677</v>
      </c>
      <c r="K89">
        <f ca="1">IFERROR(IF(0=LEN(ReferenceData!$K$89),"",ReferenceData!$K$89),"")</f>
        <v>15622</v>
      </c>
      <c r="L89">
        <f ca="1">IFERROR(IF(0=LEN(ReferenceData!$L$89),"",ReferenceData!$L$89),"")</f>
        <v>15790</v>
      </c>
      <c r="M89">
        <f ca="1">IFERROR(IF(0=LEN(ReferenceData!$M$89),"",ReferenceData!$M$89),"")</f>
        <v>15415</v>
      </c>
      <c r="N89">
        <f ca="1">IFERROR(IF(0=LEN(ReferenceData!$N$89),"",ReferenceData!$N$89),"")</f>
        <v>15343</v>
      </c>
      <c r="O89">
        <f ca="1">IFERROR(IF(0=LEN(ReferenceData!$O$89),"",ReferenceData!$O$89),"")</f>
        <v>14475</v>
      </c>
      <c r="P89">
        <f ca="1">IFERROR(IF(0=LEN(ReferenceData!$P$89),"",ReferenceData!$P$89),"")</f>
        <v>14529</v>
      </c>
      <c r="Q89">
        <f ca="1">IFERROR(IF(0=LEN(ReferenceData!$Q$89),"",ReferenceData!$Q$89),"")</f>
        <v>13902</v>
      </c>
      <c r="R89">
        <f ca="1">IFERROR(IF(0=LEN(ReferenceData!$R$89),"",ReferenceData!$R$89),"")</f>
        <v>13563</v>
      </c>
      <c r="S89">
        <f ca="1">IFERROR(IF(0=LEN(ReferenceData!$S$89),"",ReferenceData!$S$89),"")</f>
        <v>12738</v>
      </c>
      <c r="T89">
        <f ca="1">IFERROR(IF(0=LEN(ReferenceData!$T$89),"",ReferenceData!$T$89),"")</f>
        <v>12682</v>
      </c>
      <c r="U89">
        <f ca="1">IFERROR(IF(0=LEN(ReferenceData!$U$89),"",ReferenceData!$U$89),"")</f>
        <v>12134</v>
      </c>
      <c r="V89">
        <f ca="1">IFERROR(IF(0=LEN(ReferenceData!$V$89),"",ReferenceData!$V$89),"")</f>
        <v>12163</v>
      </c>
      <c r="W89">
        <f ca="1">IFERROR(IF(0=LEN(ReferenceData!$W$89),"",ReferenceData!$W$89),"")</f>
        <v>11407</v>
      </c>
      <c r="X89">
        <f ca="1">IFERROR(IF(0=LEN(ReferenceData!$X$89),"",ReferenceData!$X$89),"")</f>
        <v>11071</v>
      </c>
      <c r="Y89">
        <f ca="1">IFERROR(IF(0=LEN(ReferenceData!$Y$89),"",ReferenceData!$Y$89),"")</f>
        <v>10702</v>
      </c>
      <c r="Z89">
        <f ca="1">IFERROR(IF(0=LEN(ReferenceData!$Z$89),"",ReferenceData!$Z$89),"")</f>
        <v>10690</v>
      </c>
      <c r="AA89">
        <f ca="1">IFERROR(IF(0=LEN(ReferenceData!$AA$89),"",ReferenceData!$AA$89),"")</f>
        <v>9877</v>
      </c>
      <c r="AB89">
        <f ca="1">IFERROR(IF(0=LEN(ReferenceData!$AB$89),"",ReferenceData!$AB$89),"")</f>
        <v>9608</v>
      </c>
      <c r="AC89">
        <f ca="1">IFERROR(IF(0=LEN(ReferenceData!$AC$89),"",ReferenceData!$AC$89),"")</f>
        <v>9365</v>
      </c>
      <c r="AD89">
        <f ca="1">IFERROR(IF(0=LEN(ReferenceData!$AD$89),"",ReferenceData!$AD$89),"")</f>
        <v>8372</v>
      </c>
      <c r="AE89">
        <f ca="1">IFERROR(IF(0=LEN(ReferenceData!$AE$89),"",ReferenceData!$AE$89),"")</f>
        <v>8078</v>
      </c>
      <c r="AF89">
        <f ca="1">IFERROR(IF(0=LEN(ReferenceData!$AF$89),"",ReferenceData!$AF$89),"")</f>
        <v>7992</v>
      </c>
      <c r="AG89">
        <f ca="1">IFERROR(IF(0=LEN(ReferenceData!$AG$89),"",ReferenceData!$AG$89),"")</f>
        <v>7517</v>
      </c>
      <c r="AH89">
        <f ca="1">IFERROR(IF(0=LEN(ReferenceData!$AH$89),"",ReferenceData!$AH$89),"")</f>
        <v>7471</v>
      </c>
      <c r="AI89">
        <f ca="1">IFERROR(IF(0=LEN(ReferenceData!$AI$89),"",ReferenceData!$AI$89),"")</f>
        <v>7263</v>
      </c>
      <c r="AJ89">
        <f ca="1">IFERROR(IF(0=LEN(ReferenceData!$AJ$89),"",ReferenceData!$AJ$89),"")</f>
        <v>7129</v>
      </c>
      <c r="AK89">
        <f ca="1">IFERROR(IF(0=LEN(ReferenceData!$AK$89),"",ReferenceData!$AK$89),"")</f>
        <v>6966</v>
      </c>
      <c r="AL89">
        <f ca="1">IFERROR(IF(0=LEN(ReferenceData!$AL$89),"",ReferenceData!$AL$89),"")</f>
        <v>7020</v>
      </c>
      <c r="AM89">
        <f ca="1">IFERROR(IF(0=LEN(ReferenceData!$AM$89),"",ReferenceData!$AM$89),"")</f>
        <v>6456</v>
      </c>
      <c r="AN89">
        <f ca="1">IFERROR(IF(0=LEN(ReferenceData!$AN$89),"",ReferenceData!$AN$89),"")</f>
        <v>6582</v>
      </c>
      <c r="AO89">
        <f ca="1">IFERROR(IF(0=LEN(ReferenceData!$AO$89),"",ReferenceData!$AO$89),"")</f>
        <v>6682</v>
      </c>
      <c r="AP89">
        <f ca="1">IFERROR(IF(0=LEN(ReferenceData!$AP$89),"",ReferenceData!$AP$89),"")</f>
        <v>6775</v>
      </c>
      <c r="AQ89">
        <f ca="1">IFERROR(IF(0=LEN(ReferenceData!$AQ$89),"",ReferenceData!$AQ$89),"")</f>
        <v>6149</v>
      </c>
      <c r="AR89">
        <f ca="1">IFERROR(IF(0=LEN(ReferenceData!$AR$89),"",ReferenceData!$AR$89),"")</f>
        <v>6313</v>
      </c>
      <c r="AS89">
        <f ca="1">IFERROR(IF(0=LEN(ReferenceData!$AS$89),"",ReferenceData!$AS$89),"")</f>
        <v>6351</v>
      </c>
      <c r="AT89">
        <f ca="1">IFERROR(IF(0=LEN(ReferenceData!$AT$89),"",ReferenceData!$AT$89),"")</f>
        <v>6531</v>
      </c>
      <c r="AU89">
        <f ca="1">IFERROR(IF(0=LEN(ReferenceData!$AU$89),"",ReferenceData!$AU$89),"")</f>
        <v>6125</v>
      </c>
      <c r="AV89">
        <f ca="1">IFERROR(IF(0=LEN(ReferenceData!$AV$89),"",ReferenceData!$AV$89),"")</f>
        <v>6035</v>
      </c>
      <c r="AW89">
        <f ca="1">IFERROR(IF(0=LEN(ReferenceData!$AW$89),"",ReferenceData!$AW$89),"")</f>
        <v>6358</v>
      </c>
      <c r="AX89">
        <f ca="1">IFERROR(IF(0=LEN(ReferenceData!$AX$89),"",ReferenceData!$AX$89),"")</f>
        <v>6382</v>
      </c>
      <c r="AY89">
        <f ca="1">IFERROR(IF(0=LEN(ReferenceData!$AY$89),"",ReferenceData!$AY$89),"")</f>
        <v>6381</v>
      </c>
      <c r="AZ89">
        <f ca="1">IFERROR(IF(0=LEN(ReferenceData!$AZ$89),"",ReferenceData!$AZ$89),"")</f>
        <v>6348</v>
      </c>
      <c r="BA89">
        <f ca="1">IFERROR(IF(0=LEN(ReferenceData!$BA$89),"",ReferenceData!$BA$89),"")</f>
        <v>6321</v>
      </c>
      <c r="BB89">
        <f ca="1">IFERROR(IF(0=LEN(ReferenceData!$BB$89),"",ReferenceData!$BB$89),"")</f>
        <v>6143.5860000000002</v>
      </c>
      <c r="BC89">
        <f ca="1">IFERROR(IF(0=LEN(ReferenceData!$BC$89),"",ReferenceData!$BC$89),"")</f>
        <v>6187.0969999999998</v>
      </c>
      <c r="BD89">
        <f ca="1">IFERROR(IF(0=LEN(ReferenceData!$BD$89),"",ReferenceData!$BD$89),"")</f>
        <v>6168.6679999999997</v>
      </c>
      <c r="BE89">
        <f ca="1">IFERROR(IF(0=LEN(ReferenceData!$BE$89),"",ReferenceData!$BE$89),"")</f>
        <v>6280.77</v>
      </c>
      <c r="BF89">
        <f ca="1">IFERROR(IF(0=LEN(ReferenceData!$BF$89),"",ReferenceData!$BF$89),"")</f>
        <v>6499.3530000000001</v>
      </c>
      <c r="BG89">
        <f ca="1">IFERROR(IF(0=LEN(ReferenceData!$BG$89),"",ReferenceData!$BG$89),"")</f>
        <v>6380.8429999999998</v>
      </c>
      <c r="BH89">
        <f ca="1">IFERROR(IF(0=LEN(ReferenceData!$BH$89),"",ReferenceData!$BH$89),"")</f>
        <v>6435.3819999999996</v>
      </c>
      <c r="BI89">
        <f ca="1">IFERROR(IF(0=LEN(ReferenceData!$BI$89),"",ReferenceData!$BI$89),"")</f>
        <v>6545.8249999999998</v>
      </c>
      <c r="BJ89">
        <f ca="1">IFERROR(IF(0=LEN(ReferenceData!$BJ$89),"",ReferenceData!$BJ$89),"")</f>
        <v>6847.6540000000005</v>
      </c>
      <c r="BK89">
        <f ca="1">IFERROR(IF(0=LEN(ReferenceData!$BK$89),"",ReferenceData!$BK$89),"")</f>
        <v>6649.4260000000004</v>
      </c>
      <c r="BL89">
        <f ca="1">IFERROR(IF(0=LEN(ReferenceData!$BL$89),"",ReferenceData!$BL$89),"")</f>
        <v>6736.3509999999997</v>
      </c>
      <c r="BM89" t="str">
        <f ca="1">IFERROR(IF(0=LEN(ReferenceData!$BM$89),"",ReferenceData!$BM$89),"")</f>
        <v/>
      </c>
    </row>
    <row r="90" spans="1:65" x14ac:dyDescent="0.25">
      <c r="A90" t="str">
        <f>IFERROR(IF(0=LEN(ReferenceData!$A$90),"",ReferenceData!$A$90),"")</f>
        <v xml:space="preserve">            Citigroup Inc</v>
      </c>
      <c r="B90" t="str">
        <f>IFERROR(IF(0=LEN(ReferenceData!$B$90),"",ReferenceData!$B$90),"")</f>
        <v>C US Equity</v>
      </c>
      <c r="C90" t="str">
        <f>IFERROR(IF(0=LEN(ReferenceData!$C$90),"",ReferenceData!$C$90),"")</f>
        <v>FR531</v>
      </c>
      <c r="D90" t="str">
        <f>IFERROR(IF(0=LEN(ReferenceData!$D$90),"",ReferenceData!$D$90),"")</f>
        <v>FED_INVT_IN_RE_VENTURES</v>
      </c>
      <c r="E90" t="str">
        <f>IFERROR(IF(0=LEN(ReferenceData!$E$90),"",ReferenceData!$E$90),"")</f>
        <v>Dynamic</v>
      </c>
      <c r="F90">
        <f ca="1">IFERROR(IF(0=LEN(ReferenceData!$F$90),"",ReferenceData!$F$90),"")</f>
        <v>0</v>
      </c>
      <c r="G90">
        <f ca="1">IFERROR(IF(0=LEN(ReferenceData!$G$90),"",ReferenceData!$G$90),"")</f>
        <v>0</v>
      </c>
      <c r="H90">
        <f ca="1">IFERROR(IF(0=LEN(ReferenceData!$H$90),"",ReferenceData!$H$90),"")</f>
        <v>0</v>
      </c>
      <c r="I90">
        <f ca="1">IFERROR(IF(0=LEN(ReferenceData!$I$90),"",ReferenceData!$I$90),"")</f>
        <v>0</v>
      </c>
      <c r="J90">
        <f ca="1">IFERROR(IF(0=LEN(ReferenceData!$J$90),"",ReferenceData!$J$90),"")</f>
        <v>0</v>
      </c>
      <c r="K90">
        <f ca="1">IFERROR(IF(0=LEN(ReferenceData!$K$90),"",ReferenceData!$K$90),"")</f>
        <v>0</v>
      </c>
      <c r="L90">
        <f ca="1">IFERROR(IF(0=LEN(ReferenceData!$L$90),"",ReferenceData!$L$90),"")</f>
        <v>0</v>
      </c>
      <c r="M90">
        <f ca="1">IFERROR(IF(0=LEN(ReferenceData!$M$90),"",ReferenceData!$M$90),"")</f>
        <v>0</v>
      </c>
      <c r="N90">
        <f ca="1">IFERROR(IF(0=LEN(ReferenceData!$N$90),"",ReferenceData!$N$90),"")</f>
        <v>0</v>
      </c>
      <c r="O90">
        <f ca="1">IFERROR(IF(0=LEN(ReferenceData!$O$90),"",ReferenceData!$O$90),"")</f>
        <v>0</v>
      </c>
      <c r="P90">
        <f ca="1">IFERROR(IF(0=LEN(ReferenceData!$P$90),"",ReferenceData!$P$90),"")</f>
        <v>0</v>
      </c>
      <c r="Q90">
        <f ca="1">IFERROR(IF(0=LEN(ReferenceData!$Q$90),"",ReferenceData!$Q$90),"")</f>
        <v>0</v>
      </c>
      <c r="R90">
        <f ca="1">IFERROR(IF(0=LEN(ReferenceData!$R$90),"",ReferenceData!$R$90),"")</f>
        <v>0</v>
      </c>
      <c r="S90">
        <f ca="1">IFERROR(IF(0=LEN(ReferenceData!$S$90),"",ReferenceData!$S$90),"")</f>
        <v>0</v>
      </c>
      <c r="T90">
        <f ca="1">IFERROR(IF(0=LEN(ReferenceData!$T$90),"",ReferenceData!$T$90),"")</f>
        <v>0</v>
      </c>
      <c r="U90">
        <f ca="1">IFERROR(IF(0=LEN(ReferenceData!$U$90),"",ReferenceData!$U$90),"")</f>
        <v>0</v>
      </c>
      <c r="V90">
        <f ca="1">IFERROR(IF(0=LEN(ReferenceData!$V$90),"",ReferenceData!$V$90),"")</f>
        <v>0</v>
      </c>
      <c r="W90">
        <f ca="1">IFERROR(IF(0=LEN(ReferenceData!$W$90),"",ReferenceData!$W$90),"")</f>
        <v>0</v>
      </c>
      <c r="X90">
        <f ca="1">IFERROR(IF(0=LEN(ReferenceData!$X$90),"",ReferenceData!$X$90),"")</f>
        <v>0</v>
      </c>
      <c r="Y90">
        <f ca="1">IFERROR(IF(0=LEN(ReferenceData!$Y$90),"",ReferenceData!$Y$90),"")</f>
        <v>0</v>
      </c>
      <c r="Z90">
        <f ca="1">IFERROR(IF(0=LEN(ReferenceData!$Z$90),"",ReferenceData!$Z$90),"")</f>
        <v>21</v>
      </c>
      <c r="AA90">
        <f ca="1">IFERROR(IF(0=LEN(ReferenceData!$AA$90),"",ReferenceData!$AA$90),"")</f>
        <v>22</v>
      </c>
      <c r="AB90">
        <f ca="1">IFERROR(IF(0=LEN(ReferenceData!$AB$90),"",ReferenceData!$AB$90),"")</f>
        <v>22</v>
      </c>
      <c r="AC90">
        <f ca="1">IFERROR(IF(0=LEN(ReferenceData!$AC$90),"",ReferenceData!$AC$90),"")</f>
        <v>22</v>
      </c>
      <c r="AD90">
        <f ca="1">IFERROR(IF(0=LEN(ReferenceData!$AD$90),"",ReferenceData!$AD$90),"")</f>
        <v>22</v>
      </c>
      <c r="AE90">
        <f ca="1">IFERROR(IF(0=LEN(ReferenceData!$AE$90),"",ReferenceData!$AE$90),"")</f>
        <v>21</v>
      </c>
      <c r="AF90">
        <f ca="1">IFERROR(IF(0=LEN(ReferenceData!$AF$90),"",ReferenceData!$AF$90),"")</f>
        <v>19</v>
      </c>
      <c r="AG90">
        <f ca="1">IFERROR(IF(0=LEN(ReferenceData!$AG$90),"",ReferenceData!$AG$90),"")</f>
        <v>9</v>
      </c>
      <c r="AH90">
        <f ca="1">IFERROR(IF(0=LEN(ReferenceData!$AH$90),"",ReferenceData!$AH$90),"")</f>
        <v>11</v>
      </c>
      <c r="AI90">
        <f ca="1">IFERROR(IF(0=LEN(ReferenceData!$AI$90),"",ReferenceData!$AI$90),"")</f>
        <v>18</v>
      </c>
      <c r="AJ90">
        <f ca="1">IFERROR(IF(0=LEN(ReferenceData!$AJ$90),"",ReferenceData!$AJ$90),"")</f>
        <v>19</v>
      </c>
      <c r="AK90">
        <f ca="1">IFERROR(IF(0=LEN(ReferenceData!$AK$90),"",ReferenceData!$AK$90),"")</f>
        <v>18</v>
      </c>
      <c r="AL90">
        <f ca="1">IFERROR(IF(0=LEN(ReferenceData!$AL$90),"",ReferenceData!$AL$90),"")</f>
        <v>17</v>
      </c>
      <c r="AM90">
        <f ca="1">IFERROR(IF(0=LEN(ReferenceData!$AM$90),"",ReferenceData!$AM$90),"")</f>
        <v>18</v>
      </c>
      <c r="AN90">
        <f ca="1">IFERROR(IF(0=LEN(ReferenceData!$AN$90),"",ReferenceData!$AN$90),"")</f>
        <v>17</v>
      </c>
      <c r="AO90">
        <f ca="1">IFERROR(IF(0=LEN(ReferenceData!$AO$90),"",ReferenceData!$AO$90),"")</f>
        <v>18</v>
      </c>
      <c r="AP90">
        <f ca="1">IFERROR(IF(0=LEN(ReferenceData!$AP$90),"",ReferenceData!$AP$90),"")</f>
        <v>18</v>
      </c>
      <c r="AQ90">
        <f ca="1">IFERROR(IF(0=LEN(ReferenceData!$AQ$90),"",ReferenceData!$AQ$90),"")</f>
        <v>18</v>
      </c>
      <c r="AR90">
        <f ca="1">IFERROR(IF(0=LEN(ReferenceData!$AR$90),"",ReferenceData!$AR$90),"")</f>
        <v>90</v>
      </c>
      <c r="AS90">
        <f ca="1">IFERROR(IF(0=LEN(ReferenceData!$AS$90),"",ReferenceData!$AS$90),"")</f>
        <v>84</v>
      </c>
      <c r="AT90">
        <f ca="1">IFERROR(IF(0=LEN(ReferenceData!$AT$90),"",ReferenceData!$AT$90),"")</f>
        <v>115</v>
      </c>
      <c r="AU90">
        <f ca="1">IFERROR(IF(0=LEN(ReferenceData!$AU$90),"",ReferenceData!$AU$90),"")</f>
        <v>125</v>
      </c>
      <c r="AV90">
        <f ca="1">IFERROR(IF(0=LEN(ReferenceData!$AV$90),"",ReferenceData!$AV$90),"")</f>
        <v>169</v>
      </c>
      <c r="AW90">
        <f ca="1">IFERROR(IF(0=LEN(ReferenceData!$AW$90),"",ReferenceData!$AW$90),"")</f>
        <v>270</v>
      </c>
      <c r="AX90">
        <f ca="1">IFERROR(IF(0=LEN(ReferenceData!$AX$90),"",ReferenceData!$AX$90),"")</f>
        <v>301</v>
      </c>
      <c r="AY90">
        <f ca="1">IFERROR(IF(0=LEN(ReferenceData!$AY$90),"",ReferenceData!$AY$90),"")</f>
        <v>304</v>
      </c>
      <c r="AZ90">
        <f ca="1">IFERROR(IF(0=LEN(ReferenceData!$AZ$90),"",ReferenceData!$AZ$90),"")</f>
        <v>310</v>
      </c>
      <c r="BA90">
        <f ca="1">IFERROR(IF(0=LEN(ReferenceData!$BA$90),"",ReferenceData!$BA$90),"")</f>
        <v>314</v>
      </c>
      <c r="BB90">
        <f ca="1">IFERROR(IF(0=LEN(ReferenceData!$BB$90),"",ReferenceData!$BB$90),"")</f>
        <v>321</v>
      </c>
      <c r="BC90">
        <f ca="1">IFERROR(IF(0=LEN(ReferenceData!$BC$90),"",ReferenceData!$BC$90),"")</f>
        <v>322</v>
      </c>
      <c r="BD90">
        <f ca="1">IFERROR(IF(0=LEN(ReferenceData!$BD$90),"",ReferenceData!$BD$90),"")</f>
        <v>347</v>
      </c>
      <c r="BE90">
        <f ca="1">IFERROR(IF(0=LEN(ReferenceData!$BE$90),"",ReferenceData!$BE$90),"")</f>
        <v>365</v>
      </c>
      <c r="BF90">
        <f ca="1">IFERROR(IF(0=LEN(ReferenceData!$BF$90),"",ReferenceData!$BF$90),"")</f>
        <v>420</v>
      </c>
      <c r="BG90">
        <f ca="1">IFERROR(IF(0=LEN(ReferenceData!$BG$90),"",ReferenceData!$BG$90),"")</f>
        <v>510</v>
      </c>
      <c r="BH90">
        <f ca="1">IFERROR(IF(0=LEN(ReferenceData!$BH$90),"",ReferenceData!$BH$90),"")</f>
        <v>523</v>
      </c>
      <c r="BI90">
        <f ca="1">IFERROR(IF(0=LEN(ReferenceData!$BI$90),"",ReferenceData!$BI$90),"")</f>
        <v>501</v>
      </c>
      <c r="BJ90">
        <f ca="1">IFERROR(IF(0=LEN(ReferenceData!$BJ$90),"",ReferenceData!$BJ$90),"")</f>
        <v>492</v>
      </c>
      <c r="BK90">
        <f ca="1">IFERROR(IF(0=LEN(ReferenceData!$BK$90),"",ReferenceData!$BK$90),"")</f>
        <v>504</v>
      </c>
      <c r="BL90">
        <f ca="1">IFERROR(IF(0=LEN(ReferenceData!$BL$90),"",ReferenceData!$BL$90),"")</f>
        <v>496</v>
      </c>
      <c r="BM90" t="str">
        <f ca="1">IFERROR(IF(0=LEN(ReferenceData!$BM$90),"",ReferenceData!$BM$90),"")</f>
        <v/>
      </c>
    </row>
    <row r="91" spans="1:65" x14ac:dyDescent="0.25">
      <c r="A91" t="str">
        <f>IFERROR(IF(0=LEN(ReferenceData!$A$91),"",ReferenceData!$A$91),"")</f>
        <v xml:space="preserve">            Citizens Financial Group Inc</v>
      </c>
      <c r="B91" t="str">
        <f>IFERROR(IF(0=LEN(ReferenceData!$B$91),"",ReferenceData!$B$91),"")</f>
        <v>CFG US Equity</v>
      </c>
      <c r="C91" t="str">
        <f>IFERROR(IF(0=LEN(ReferenceData!$C$91),"",ReferenceData!$C$91),"")</f>
        <v>FR531</v>
      </c>
      <c r="D91" t="str">
        <f>IFERROR(IF(0=LEN(ReferenceData!$D$91),"",ReferenceData!$D$91),"")</f>
        <v>FED_INVT_IN_RE_VENTURES</v>
      </c>
      <c r="E91" t="str">
        <f>IFERROR(IF(0=LEN(ReferenceData!$E$91),"",ReferenceData!$E$91),"")</f>
        <v>Dynamic</v>
      </c>
      <c r="F91">
        <f ca="1">IFERROR(IF(0=LEN(ReferenceData!$F$91),"",ReferenceData!$F$91),"")</f>
        <v>2765.366</v>
      </c>
      <c r="G91">
        <f ca="1">IFERROR(IF(0=LEN(ReferenceData!$G$91),"",ReferenceData!$G$91),"")</f>
        <v>2616.047</v>
      </c>
      <c r="H91">
        <f ca="1">IFERROR(IF(0=LEN(ReferenceData!$H$91),"",ReferenceData!$H$91),"")</f>
        <v>2660.5419999999999</v>
      </c>
      <c r="I91">
        <f ca="1">IFERROR(IF(0=LEN(ReferenceData!$I$91),"",ReferenceData!$I$91),"")</f>
        <v>2584.5360000000001</v>
      </c>
      <c r="J91">
        <f ca="1">IFERROR(IF(0=LEN(ReferenceData!$J$91),"",ReferenceData!$J$91),"")</f>
        <v>2554.8530000000001</v>
      </c>
      <c r="K91">
        <f ca="1">IFERROR(IF(0=LEN(ReferenceData!$K$91),"",ReferenceData!$K$91),"")</f>
        <v>2505.9879999999998</v>
      </c>
      <c r="L91">
        <f ca="1">IFERROR(IF(0=LEN(ReferenceData!$L$91),"",ReferenceData!$L$91),"")</f>
        <v>2504.2139999999999</v>
      </c>
      <c r="M91">
        <f ca="1">IFERROR(IF(0=LEN(ReferenceData!$M$91),"",ReferenceData!$M$91),"")</f>
        <v>2324.2550000000001</v>
      </c>
      <c r="N91">
        <f ca="1">IFERROR(IF(0=LEN(ReferenceData!$N$91),"",ReferenceData!$N$91),"")</f>
        <v>2314.7440000000001</v>
      </c>
      <c r="O91">
        <f ca="1">IFERROR(IF(0=LEN(ReferenceData!$O$91),"",ReferenceData!$O$91),"")</f>
        <v>2232.9270000000001</v>
      </c>
      <c r="P91">
        <f ca="1">IFERROR(IF(0=LEN(ReferenceData!$P$91),"",ReferenceData!$P$91),"")</f>
        <v>2260.7860000000001</v>
      </c>
      <c r="Q91">
        <f ca="1">IFERROR(IF(0=LEN(ReferenceData!$Q$91),"",ReferenceData!$Q$91),"")</f>
        <v>2214.5590000000002</v>
      </c>
      <c r="R91">
        <f ca="1">IFERROR(IF(0=LEN(ReferenceData!$R$91),"",ReferenceData!$R$91),"")</f>
        <v>2063.8789999999999</v>
      </c>
      <c r="S91">
        <f ca="1">IFERROR(IF(0=LEN(ReferenceData!$S$91),"",ReferenceData!$S$91),"")</f>
        <v>1985.481</v>
      </c>
      <c r="T91">
        <f ca="1">IFERROR(IF(0=LEN(ReferenceData!$T$91),"",ReferenceData!$T$91),"")</f>
        <v>2009.902</v>
      </c>
      <c r="U91">
        <f ca="1">IFERROR(IF(0=LEN(ReferenceData!$U$91),"",ReferenceData!$U$91),"")</f>
        <v>1849.973</v>
      </c>
      <c r="V91">
        <f ca="1">IFERROR(IF(0=LEN(ReferenceData!$V$91),"",ReferenceData!$V$91),"")</f>
        <v>1755.308</v>
      </c>
      <c r="W91">
        <f ca="1">IFERROR(IF(0=LEN(ReferenceData!$W$91),"",ReferenceData!$W$91),"")</f>
        <v>1592.729</v>
      </c>
      <c r="X91">
        <f ca="1">IFERROR(IF(0=LEN(ReferenceData!$X$91),"",ReferenceData!$X$91),"")</f>
        <v>1521.1890000000001</v>
      </c>
      <c r="Y91">
        <f ca="1">IFERROR(IF(0=LEN(ReferenceData!$Y$91),"",ReferenceData!$Y$91),"")</f>
        <v>1492.5719999999999</v>
      </c>
      <c r="Z91">
        <f ca="1">IFERROR(IF(0=LEN(ReferenceData!$Z$91),"",ReferenceData!$Z$91),"")</f>
        <v>1456.2529999999999</v>
      </c>
      <c r="AA91">
        <f ca="1">IFERROR(IF(0=LEN(ReferenceData!$AA$91),"",ReferenceData!$AA$91),"")</f>
        <v>1378.856</v>
      </c>
      <c r="AB91">
        <f ca="1">IFERROR(IF(0=LEN(ReferenceData!$AB$91),"",ReferenceData!$AB$91),"")</f>
        <v>1358.0160000000001</v>
      </c>
      <c r="AC91">
        <f ca="1">IFERROR(IF(0=LEN(ReferenceData!$AC$91),"",ReferenceData!$AC$91),"")</f>
        <v>1319.3389999999999</v>
      </c>
      <c r="AD91">
        <f ca="1">IFERROR(IF(0=LEN(ReferenceData!$AD$91),"",ReferenceData!$AD$91),"")</f>
        <v>1293.78</v>
      </c>
      <c r="AE91">
        <f ca="1">IFERROR(IF(0=LEN(ReferenceData!$AE$91),"",ReferenceData!$AE$91),"")</f>
        <v>1260.4670000000001</v>
      </c>
      <c r="AF91">
        <f ca="1">IFERROR(IF(0=LEN(ReferenceData!$AF$91),"",ReferenceData!$AF$91),"")</f>
        <v>1108.2070000000001</v>
      </c>
      <c r="AG91">
        <f ca="1">IFERROR(IF(0=LEN(ReferenceData!$AG$91),"",ReferenceData!$AG$91),"")</f>
        <v>1046.18</v>
      </c>
      <c r="AH91">
        <f ca="1">IFERROR(IF(0=LEN(ReferenceData!$AH$91),"",ReferenceData!$AH$91),"")</f>
        <v>1006.3680000000001</v>
      </c>
      <c r="AI91">
        <f ca="1">IFERROR(IF(0=LEN(ReferenceData!$AI$91),"",ReferenceData!$AI$91),"")</f>
        <v>964.59699999999998</v>
      </c>
      <c r="AJ91">
        <f ca="1">IFERROR(IF(0=LEN(ReferenceData!$AJ$91),"",ReferenceData!$AJ$91),"")</f>
        <v>914.45699999999999</v>
      </c>
      <c r="AK91">
        <f ca="1">IFERROR(IF(0=LEN(ReferenceData!$AK$91),"",ReferenceData!$AK$91),"")</f>
        <v>843.80899999999997</v>
      </c>
      <c r="AL91">
        <f ca="1">IFERROR(IF(0=LEN(ReferenceData!$AL$91),"",ReferenceData!$AL$91),"")</f>
        <v>842.11199999999997</v>
      </c>
      <c r="AM91">
        <f ca="1">IFERROR(IF(0=LEN(ReferenceData!$AM$91),"",ReferenceData!$AM$91),"")</f>
        <v>737.96</v>
      </c>
      <c r="AN91">
        <f ca="1">IFERROR(IF(0=LEN(ReferenceData!$AN$91),"",ReferenceData!$AN$91),"")</f>
        <v>698.02800000000002</v>
      </c>
      <c r="AO91">
        <f ca="1">IFERROR(IF(0=LEN(ReferenceData!$AO$91),"",ReferenceData!$AO$91),"")</f>
        <v>679.69899999999996</v>
      </c>
      <c r="AP91">
        <f ca="1">IFERROR(IF(0=LEN(ReferenceData!$AP$91),"",ReferenceData!$AP$91),"")</f>
        <v>635.74199999999996</v>
      </c>
      <c r="AQ91">
        <f ca="1">IFERROR(IF(0=LEN(ReferenceData!$AQ$91),"",ReferenceData!$AQ$91),"")</f>
        <v>555.13199999999995</v>
      </c>
      <c r="AR91">
        <f ca="1">IFERROR(IF(0=LEN(ReferenceData!$AR$91),"",ReferenceData!$AR$91),"")</f>
        <v>530.25599999999997</v>
      </c>
      <c r="AS91">
        <f ca="1">IFERROR(IF(0=LEN(ReferenceData!$AS$91),"",ReferenceData!$AS$91),"")</f>
        <v>506.875</v>
      </c>
      <c r="AT91">
        <f ca="1">IFERROR(IF(0=LEN(ReferenceData!$AT$91),"",ReferenceData!$AT$91),"")</f>
        <v>431.637</v>
      </c>
      <c r="AU91">
        <f ca="1">IFERROR(IF(0=LEN(ReferenceData!$AU$91),"",ReferenceData!$AU$91),"")</f>
        <v>359.81200000000001</v>
      </c>
      <c r="AV91">
        <f ca="1">IFERROR(IF(0=LEN(ReferenceData!$AV$91),"",ReferenceData!$AV$91),"")</f>
        <v>309.19900000000001</v>
      </c>
      <c r="AW91">
        <f ca="1">IFERROR(IF(0=LEN(ReferenceData!$AW$91),"",ReferenceData!$AW$91),"")</f>
        <v>296.447</v>
      </c>
      <c r="AX91">
        <f ca="1">IFERROR(IF(0=LEN(ReferenceData!$AX$91),"",ReferenceData!$AX$91),"")</f>
        <v>251.297</v>
      </c>
      <c r="AY91">
        <f ca="1">IFERROR(IF(0=LEN(ReferenceData!$AY$91),"",ReferenceData!$AY$91),"")</f>
        <v>164.441</v>
      </c>
      <c r="AZ91">
        <f ca="1">IFERROR(IF(0=LEN(ReferenceData!$AZ$91),"",ReferenceData!$AZ$91),"")</f>
        <v>104.41</v>
      </c>
      <c r="BA91">
        <f ca="1">IFERROR(IF(0=LEN(ReferenceData!$BA$91),"",ReferenceData!$BA$91),"")</f>
        <v>86.3</v>
      </c>
      <c r="BB91">
        <f ca="1">IFERROR(IF(0=LEN(ReferenceData!$BB$91),"",ReferenceData!$BB$91),"")</f>
        <v>88.558000000000007</v>
      </c>
      <c r="BC91">
        <f ca="1">IFERROR(IF(0=LEN(ReferenceData!$BC$91),"",ReferenceData!$BC$91),"")</f>
        <v>99.331000000000003</v>
      </c>
      <c r="BD91">
        <f ca="1">IFERROR(IF(0=LEN(ReferenceData!$BD$91),"",ReferenceData!$BD$91),"")</f>
        <v>101.83499999999999</v>
      </c>
      <c r="BE91">
        <f ca="1">IFERROR(IF(0=LEN(ReferenceData!$BE$91),"",ReferenceData!$BE$91),"")</f>
        <v>99.192999999999998</v>
      </c>
      <c r="BF91">
        <f ca="1">IFERROR(IF(0=LEN(ReferenceData!$BF$91),"",ReferenceData!$BF$91),"")</f>
        <v>101.64</v>
      </c>
      <c r="BG91">
        <f ca="1">IFERROR(IF(0=LEN(ReferenceData!$BG$91),"",ReferenceData!$BG$91),"")</f>
        <v>113.645</v>
      </c>
      <c r="BH91">
        <f ca="1">IFERROR(IF(0=LEN(ReferenceData!$BH$91),"",ReferenceData!$BH$91),"")</f>
        <v>115.078</v>
      </c>
      <c r="BI91">
        <f ca="1">IFERROR(IF(0=LEN(ReferenceData!$BI$91),"",ReferenceData!$BI$91),"")</f>
        <v>116.798</v>
      </c>
      <c r="BJ91">
        <f ca="1">IFERROR(IF(0=LEN(ReferenceData!$BJ$91),"",ReferenceData!$BJ$91),"")</f>
        <v>118.559</v>
      </c>
      <c r="BK91">
        <f ca="1">IFERROR(IF(0=LEN(ReferenceData!$BK$91),"",ReferenceData!$BK$91),"")</f>
        <v>125.884</v>
      </c>
      <c r="BL91">
        <f ca="1">IFERROR(IF(0=LEN(ReferenceData!$BL$91),"",ReferenceData!$BL$91),"")</f>
        <v>130.24700000000001</v>
      </c>
      <c r="BM91" t="str">
        <f ca="1">IFERROR(IF(0=LEN(ReferenceData!$BM$91),"",ReferenceData!$BM$91),"")</f>
        <v/>
      </c>
    </row>
    <row r="92" spans="1:65" x14ac:dyDescent="0.25">
      <c r="A92" t="str">
        <f>IFERROR(IF(0=LEN(ReferenceData!$A$92),"",ReferenceData!$A$92),"")</f>
        <v xml:space="preserve">            Capital One Financial Corp</v>
      </c>
      <c r="B92" t="str">
        <f>IFERROR(IF(0=LEN(ReferenceData!$B$92),"",ReferenceData!$B$92),"")</f>
        <v>COF US Equity</v>
      </c>
      <c r="C92" t="str">
        <f>IFERROR(IF(0=LEN(ReferenceData!$C$92),"",ReferenceData!$C$92),"")</f>
        <v>FR531</v>
      </c>
      <c r="D92" t="str">
        <f>IFERROR(IF(0=LEN(ReferenceData!$D$92),"",ReferenceData!$D$92),"")</f>
        <v>FED_INVT_IN_RE_VENTURES</v>
      </c>
      <c r="E92" t="str">
        <f>IFERROR(IF(0=LEN(ReferenceData!$E$92),"",ReferenceData!$E$92),"")</f>
        <v>Dynamic</v>
      </c>
      <c r="F92">
        <f ca="1">IFERROR(IF(0=LEN(ReferenceData!$F$92),"",ReferenceData!$F$92),"")</f>
        <v>0</v>
      </c>
      <c r="G92">
        <f ca="1">IFERROR(IF(0=LEN(ReferenceData!$G$92),"",ReferenceData!$G$92),"")</f>
        <v>0</v>
      </c>
      <c r="H92">
        <f ca="1">IFERROR(IF(0=LEN(ReferenceData!$H$92),"",ReferenceData!$H$92),"")</f>
        <v>0</v>
      </c>
      <c r="I92">
        <f ca="1">IFERROR(IF(0=LEN(ReferenceData!$I$92),"",ReferenceData!$I$92),"")</f>
        <v>0</v>
      </c>
      <c r="J92">
        <f ca="1">IFERROR(IF(0=LEN(ReferenceData!$J$92),"",ReferenceData!$J$92),"")</f>
        <v>0</v>
      </c>
      <c r="K92">
        <f ca="1">IFERROR(IF(0=LEN(ReferenceData!$K$92),"",ReferenceData!$K$92),"")</f>
        <v>0</v>
      </c>
      <c r="L92">
        <f ca="1">IFERROR(IF(0=LEN(ReferenceData!$L$92),"",ReferenceData!$L$92),"")</f>
        <v>0</v>
      </c>
      <c r="M92">
        <f ca="1">IFERROR(IF(0=LEN(ReferenceData!$M$92),"",ReferenceData!$M$92),"")</f>
        <v>0</v>
      </c>
      <c r="N92">
        <f ca="1">IFERROR(IF(0=LEN(ReferenceData!$N$92),"",ReferenceData!$N$92),"")</f>
        <v>0</v>
      </c>
      <c r="O92">
        <f ca="1">IFERROR(IF(0=LEN(ReferenceData!$O$92),"",ReferenceData!$O$92),"")</f>
        <v>0</v>
      </c>
      <c r="P92">
        <f ca="1">IFERROR(IF(0=LEN(ReferenceData!$P$92),"",ReferenceData!$P$92),"")</f>
        <v>0</v>
      </c>
      <c r="Q92">
        <f ca="1">IFERROR(IF(0=LEN(ReferenceData!$Q$92),"",ReferenceData!$Q$92),"")</f>
        <v>0</v>
      </c>
      <c r="R92">
        <f ca="1">IFERROR(IF(0=LEN(ReferenceData!$R$92),"",ReferenceData!$R$92),"")</f>
        <v>0</v>
      </c>
      <c r="S92">
        <f ca="1">IFERROR(IF(0=LEN(ReferenceData!$S$92),"",ReferenceData!$S$92),"")</f>
        <v>0</v>
      </c>
      <c r="T92">
        <f ca="1">IFERROR(IF(0=LEN(ReferenceData!$T$92),"",ReferenceData!$T$92),"")</f>
        <v>0</v>
      </c>
      <c r="U92">
        <f ca="1">IFERROR(IF(0=LEN(ReferenceData!$U$92),"",ReferenceData!$U$92),"")</f>
        <v>0</v>
      </c>
      <c r="V92">
        <f ca="1">IFERROR(IF(0=LEN(ReferenceData!$V$92),"",ReferenceData!$V$92),"")</f>
        <v>0</v>
      </c>
      <c r="W92">
        <f ca="1">IFERROR(IF(0=LEN(ReferenceData!$W$92),"",ReferenceData!$W$92),"")</f>
        <v>0</v>
      </c>
      <c r="X92">
        <f ca="1">IFERROR(IF(0=LEN(ReferenceData!$X$92),"",ReferenceData!$X$92),"")</f>
        <v>0</v>
      </c>
      <c r="Y92">
        <f ca="1">IFERROR(IF(0=LEN(ReferenceData!$Y$92),"",ReferenceData!$Y$92),"")</f>
        <v>0</v>
      </c>
      <c r="Z92">
        <f ca="1">IFERROR(IF(0=LEN(ReferenceData!$Z$92),"",ReferenceData!$Z$92),"")</f>
        <v>0</v>
      </c>
      <c r="AA92">
        <f ca="1">IFERROR(IF(0=LEN(ReferenceData!$AA$92),"",ReferenceData!$AA$92),"")</f>
        <v>0</v>
      </c>
      <c r="AB92">
        <f ca="1">IFERROR(IF(0=LEN(ReferenceData!$AB$92),"",ReferenceData!$AB$92),"")</f>
        <v>0</v>
      </c>
      <c r="AC92">
        <f ca="1">IFERROR(IF(0=LEN(ReferenceData!$AC$92),"",ReferenceData!$AC$92),"")</f>
        <v>0</v>
      </c>
      <c r="AD92">
        <f ca="1">IFERROR(IF(0=LEN(ReferenceData!$AD$92),"",ReferenceData!$AD$92),"")</f>
        <v>0</v>
      </c>
      <c r="AE92">
        <f ca="1">IFERROR(IF(0=LEN(ReferenceData!$AE$92),"",ReferenceData!$AE$92),"")</f>
        <v>0</v>
      </c>
      <c r="AF92">
        <f ca="1">IFERROR(IF(0=LEN(ReferenceData!$AF$92),"",ReferenceData!$AF$92),"")</f>
        <v>0</v>
      </c>
      <c r="AG92">
        <f ca="1">IFERROR(IF(0=LEN(ReferenceData!$AG$92),"",ReferenceData!$AG$92),"")</f>
        <v>0</v>
      </c>
      <c r="AH92">
        <f ca="1">IFERROR(IF(0=LEN(ReferenceData!$AH$92),"",ReferenceData!$AH$92),"")</f>
        <v>0</v>
      </c>
      <c r="AI92">
        <f ca="1">IFERROR(IF(0=LEN(ReferenceData!$AI$92),"",ReferenceData!$AI$92),"")</f>
        <v>0</v>
      </c>
      <c r="AJ92">
        <f ca="1">IFERROR(IF(0=LEN(ReferenceData!$AJ$92),"",ReferenceData!$AJ$92),"")</f>
        <v>0</v>
      </c>
      <c r="AK92">
        <f ca="1">IFERROR(IF(0=LEN(ReferenceData!$AK$92),"",ReferenceData!$AK$92),"")</f>
        <v>0</v>
      </c>
      <c r="AL92">
        <f ca="1">IFERROR(IF(0=LEN(ReferenceData!$AL$92),"",ReferenceData!$AL$92),"")</f>
        <v>0</v>
      </c>
      <c r="AM92">
        <f ca="1">IFERROR(IF(0=LEN(ReferenceData!$AM$92),"",ReferenceData!$AM$92),"")</f>
        <v>0</v>
      </c>
      <c r="AN92">
        <f ca="1">IFERROR(IF(0=LEN(ReferenceData!$AN$92),"",ReferenceData!$AN$92),"")</f>
        <v>0</v>
      </c>
      <c r="AO92">
        <f ca="1">IFERROR(IF(0=LEN(ReferenceData!$AO$92),"",ReferenceData!$AO$92),"")</f>
        <v>0</v>
      </c>
      <c r="AP92">
        <f ca="1">IFERROR(IF(0=LEN(ReferenceData!$AP$92),"",ReferenceData!$AP$92),"")</f>
        <v>0</v>
      </c>
      <c r="AQ92">
        <f ca="1">IFERROR(IF(0=LEN(ReferenceData!$AQ$92),"",ReferenceData!$AQ$92),"")</f>
        <v>0</v>
      </c>
      <c r="AR92">
        <f ca="1">IFERROR(IF(0=LEN(ReferenceData!$AR$92),"",ReferenceData!$AR$92),"")</f>
        <v>0</v>
      </c>
      <c r="AS92">
        <f ca="1">IFERROR(IF(0=LEN(ReferenceData!$AS$92),"",ReferenceData!$AS$92),"")</f>
        <v>0</v>
      </c>
      <c r="AT92">
        <f ca="1">IFERROR(IF(0=LEN(ReferenceData!$AT$92),"",ReferenceData!$AT$92),"")</f>
        <v>0</v>
      </c>
      <c r="AU92">
        <f ca="1">IFERROR(IF(0=LEN(ReferenceData!$AU$92),"",ReferenceData!$AU$92),"")</f>
        <v>0</v>
      </c>
      <c r="AV92">
        <f ca="1">IFERROR(IF(0=LEN(ReferenceData!$AV$92),"",ReferenceData!$AV$92),"")</f>
        <v>0</v>
      </c>
      <c r="AW92">
        <f ca="1">IFERROR(IF(0=LEN(ReferenceData!$AW$92),"",ReferenceData!$AW$92),"")</f>
        <v>0</v>
      </c>
      <c r="AX92">
        <f ca="1">IFERROR(IF(0=LEN(ReferenceData!$AX$92),"",ReferenceData!$AX$92),"")</f>
        <v>0</v>
      </c>
      <c r="AY92">
        <f ca="1">IFERROR(IF(0=LEN(ReferenceData!$AY$92),"",ReferenceData!$AY$92),"")</f>
        <v>0</v>
      </c>
      <c r="AZ92">
        <f ca="1">IFERROR(IF(0=LEN(ReferenceData!$AZ$92),"",ReferenceData!$AZ$92),"")</f>
        <v>0</v>
      </c>
      <c r="BA92">
        <f ca="1">IFERROR(IF(0=LEN(ReferenceData!$BA$92),"",ReferenceData!$BA$92),"")</f>
        <v>0</v>
      </c>
      <c r="BB92">
        <f ca="1">IFERROR(IF(0=LEN(ReferenceData!$BB$92),"",ReferenceData!$BB$92),"")</f>
        <v>0</v>
      </c>
      <c r="BC92">
        <f ca="1">IFERROR(IF(0=LEN(ReferenceData!$BC$92),"",ReferenceData!$BC$92),"")</f>
        <v>0</v>
      </c>
      <c r="BD92">
        <f ca="1">IFERROR(IF(0=LEN(ReferenceData!$BD$92),"",ReferenceData!$BD$92),"")</f>
        <v>0</v>
      </c>
      <c r="BE92">
        <f ca="1">IFERROR(IF(0=LEN(ReferenceData!$BE$92),"",ReferenceData!$BE$92),"")</f>
        <v>0</v>
      </c>
      <c r="BF92">
        <f ca="1">IFERROR(IF(0=LEN(ReferenceData!$BF$92),"",ReferenceData!$BF$92),"")</f>
        <v>0</v>
      </c>
      <c r="BG92">
        <f ca="1">IFERROR(IF(0=LEN(ReferenceData!$BG$92),"",ReferenceData!$BG$92),"")</f>
        <v>0</v>
      </c>
      <c r="BH92">
        <f ca="1">IFERROR(IF(0=LEN(ReferenceData!$BH$92),"",ReferenceData!$BH$92),"")</f>
        <v>0</v>
      </c>
      <c r="BI92">
        <f ca="1">IFERROR(IF(0=LEN(ReferenceData!$BI$92),"",ReferenceData!$BI$92),"")</f>
        <v>0</v>
      </c>
      <c r="BJ92">
        <f ca="1">IFERROR(IF(0=LEN(ReferenceData!$BJ$92),"",ReferenceData!$BJ$92),"")</f>
        <v>0</v>
      </c>
      <c r="BK92">
        <f ca="1">IFERROR(IF(0=LEN(ReferenceData!$BK$92),"",ReferenceData!$BK$92),"")</f>
        <v>0</v>
      </c>
      <c r="BL92">
        <f ca="1">IFERROR(IF(0=LEN(ReferenceData!$BL$92),"",ReferenceData!$BL$92),"")</f>
        <v>0</v>
      </c>
      <c r="BM92" t="str">
        <f ca="1">IFERROR(IF(0=LEN(ReferenceData!$BM$92),"",ReferenceData!$BM$92),"")</f>
        <v/>
      </c>
    </row>
    <row r="93" spans="1:65" x14ac:dyDescent="0.25">
      <c r="A93" t="str">
        <f>IFERROR(IF(0=LEN(ReferenceData!$A$93),"",ReferenceData!$A$93),"")</f>
        <v xml:space="preserve">            Comerica Inc</v>
      </c>
      <c r="B93" t="str">
        <f>IFERROR(IF(0=LEN(ReferenceData!$B$93),"",ReferenceData!$B$93),"")</f>
        <v>CMA US Equity</v>
      </c>
      <c r="C93" t="str">
        <f>IFERROR(IF(0=LEN(ReferenceData!$C$93),"",ReferenceData!$C$93),"")</f>
        <v>FR531</v>
      </c>
      <c r="D93" t="str">
        <f>IFERROR(IF(0=LEN(ReferenceData!$D$93),"",ReferenceData!$D$93),"")</f>
        <v>FED_INVT_IN_RE_VENTURES</v>
      </c>
      <c r="E93" t="str">
        <f>IFERROR(IF(0=LEN(ReferenceData!$E$93),"",ReferenceData!$E$93),"")</f>
        <v>Dynamic</v>
      </c>
      <c r="F93" t="str">
        <f ca="1">IFERROR(IF(0=LEN(ReferenceData!$F$93),"",ReferenceData!$F$93),"")</f>
        <v/>
      </c>
      <c r="G93">
        <f ca="1">IFERROR(IF(0=LEN(ReferenceData!$G$93),"",ReferenceData!$G$93),"")</f>
        <v>0</v>
      </c>
      <c r="H93">
        <f ca="1">IFERROR(IF(0=LEN(ReferenceData!$H$93),"",ReferenceData!$H$93),"")</f>
        <v>0</v>
      </c>
      <c r="I93">
        <f ca="1">IFERROR(IF(0=LEN(ReferenceData!$I$93),"",ReferenceData!$I$93),"")</f>
        <v>0</v>
      </c>
      <c r="J93">
        <f ca="1">IFERROR(IF(0=LEN(ReferenceData!$J$93),"",ReferenceData!$J$93),"")</f>
        <v>0</v>
      </c>
      <c r="K93">
        <f ca="1">IFERROR(IF(0=LEN(ReferenceData!$K$93),"",ReferenceData!$K$93),"")</f>
        <v>0</v>
      </c>
      <c r="L93">
        <f ca="1">IFERROR(IF(0=LEN(ReferenceData!$L$93),"",ReferenceData!$L$93),"")</f>
        <v>0</v>
      </c>
      <c r="M93">
        <f ca="1">IFERROR(IF(0=LEN(ReferenceData!$M$93),"",ReferenceData!$M$93),"")</f>
        <v>0</v>
      </c>
      <c r="N93">
        <f ca="1">IFERROR(IF(0=LEN(ReferenceData!$N$93),"",ReferenceData!$N$93),"")</f>
        <v>0</v>
      </c>
      <c r="O93">
        <f ca="1">IFERROR(IF(0=LEN(ReferenceData!$O$93),"",ReferenceData!$O$93),"")</f>
        <v>0</v>
      </c>
      <c r="P93">
        <f ca="1">IFERROR(IF(0=LEN(ReferenceData!$P$93),"",ReferenceData!$P$93),"")</f>
        <v>0</v>
      </c>
      <c r="Q93">
        <f ca="1">IFERROR(IF(0=LEN(ReferenceData!$Q$93),"",ReferenceData!$Q$93),"")</f>
        <v>0</v>
      </c>
      <c r="R93">
        <f ca="1">IFERROR(IF(0=LEN(ReferenceData!$R$93),"",ReferenceData!$R$93),"")</f>
        <v>0</v>
      </c>
      <c r="S93">
        <f ca="1">IFERROR(IF(0=LEN(ReferenceData!$S$93),"",ReferenceData!$S$93),"")</f>
        <v>0</v>
      </c>
      <c r="T93">
        <f ca="1">IFERROR(IF(0=LEN(ReferenceData!$T$93),"",ReferenceData!$T$93),"")</f>
        <v>0</v>
      </c>
      <c r="U93">
        <f ca="1">IFERROR(IF(0=LEN(ReferenceData!$U$93),"",ReferenceData!$U$93),"")</f>
        <v>0</v>
      </c>
      <c r="V93">
        <f ca="1">IFERROR(IF(0=LEN(ReferenceData!$V$93),"",ReferenceData!$V$93),"")</f>
        <v>0</v>
      </c>
      <c r="W93">
        <f ca="1">IFERROR(IF(0=LEN(ReferenceData!$W$93),"",ReferenceData!$W$93),"")</f>
        <v>0</v>
      </c>
      <c r="X93">
        <f ca="1">IFERROR(IF(0=LEN(ReferenceData!$X$93),"",ReferenceData!$X$93),"")</f>
        <v>0</v>
      </c>
      <c r="Y93">
        <f ca="1">IFERROR(IF(0=LEN(ReferenceData!$Y$93),"",ReferenceData!$Y$93),"")</f>
        <v>0</v>
      </c>
      <c r="Z93">
        <f ca="1">IFERROR(IF(0=LEN(ReferenceData!$Z$93),"",ReferenceData!$Z$93),"")</f>
        <v>0</v>
      </c>
      <c r="AA93">
        <f ca="1">IFERROR(IF(0=LEN(ReferenceData!$AA$93),"",ReferenceData!$AA$93),"")</f>
        <v>0</v>
      </c>
      <c r="AB93">
        <f ca="1">IFERROR(IF(0=LEN(ReferenceData!$AB$93),"",ReferenceData!$AB$93),"")</f>
        <v>0</v>
      </c>
      <c r="AC93">
        <f ca="1">IFERROR(IF(0=LEN(ReferenceData!$AC$93),"",ReferenceData!$AC$93),"")</f>
        <v>0</v>
      </c>
      <c r="AD93">
        <f ca="1">IFERROR(IF(0=LEN(ReferenceData!$AD$93),"",ReferenceData!$AD$93),"")</f>
        <v>0</v>
      </c>
      <c r="AE93">
        <f ca="1">IFERROR(IF(0=LEN(ReferenceData!$AE$93),"",ReferenceData!$AE$93),"")</f>
        <v>0</v>
      </c>
      <c r="AF93">
        <f ca="1">IFERROR(IF(0=LEN(ReferenceData!$AF$93),"",ReferenceData!$AF$93),"")</f>
        <v>0</v>
      </c>
      <c r="AG93">
        <f ca="1">IFERROR(IF(0=LEN(ReferenceData!$AG$93),"",ReferenceData!$AG$93),"")</f>
        <v>0</v>
      </c>
      <c r="AH93">
        <f ca="1">IFERROR(IF(0=LEN(ReferenceData!$AH$93),"",ReferenceData!$AH$93),"")</f>
        <v>0</v>
      </c>
      <c r="AI93">
        <f ca="1">IFERROR(IF(0=LEN(ReferenceData!$AI$93),"",ReferenceData!$AI$93),"")</f>
        <v>0</v>
      </c>
      <c r="AJ93">
        <f ca="1">IFERROR(IF(0=LEN(ReferenceData!$AJ$93),"",ReferenceData!$AJ$93),"")</f>
        <v>0</v>
      </c>
      <c r="AK93">
        <f ca="1">IFERROR(IF(0=LEN(ReferenceData!$AK$93),"",ReferenceData!$AK$93),"")</f>
        <v>0</v>
      </c>
      <c r="AL93">
        <f ca="1">IFERROR(IF(0=LEN(ReferenceData!$AL$93),"",ReferenceData!$AL$93),"")</f>
        <v>0</v>
      </c>
      <c r="AM93">
        <f ca="1">IFERROR(IF(0=LEN(ReferenceData!$AM$93),"",ReferenceData!$AM$93),"")</f>
        <v>0</v>
      </c>
      <c r="AN93">
        <f ca="1">IFERROR(IF(0=LEN(ReferenceData!$AN$93),"",ReferenceData!$AN$93),"")</f>
        <v>0</v>
      </c>
      <c r="AO93">
        <f ca="1">IFERROR(IF(0=LEN(ReferenceData!$AO$93),"",ReferenceData!$AO$93),"")</f>
        <v>0</v>
      </c>
      <c r="AP93">
        <f ca="1">IFERROR(IF(0=LEN(ReferenceData!$AP$93),"",ReferenceData!$AP$93),"")</f>
        <v>0</v>
      </c>
      <c r="AQ93">
        <f ca="1">IFERROR(IF(0=LEN(ReferenceData!$AQ$93),"",ReferenceData!$AQ$93),"")</f>
        <v>0</v>
      </c>
      <c r="AR93">
        <f ca="1">IFERROR(IF(0=LEN(ReferenceData!$AR$93),"",ReferenceData!$AR$93),"")</f>
        <v>0</v>
      </c>
      <c r="AS93">
        <f ca="1">IFERROR(IF(0=LEN(ReferenceData!$AS$93),"",ReferenceData!$AS$93),"")</f>
        <v>0</v>
      </c>
      <c r="AT93">
        <f ca="1">IFERROR(IF(0=LEN(ReferenceData!$AT$93),"",ReferenceData!$AT$93),"")</f>
        <v>0</v>
      </c>
      <c r="AU93">
        <f ca="1">IFERROR(IF(0=LEN(ReferenceData!$AU$93),"",ReferenceData!$AU$93),"")</f>
        <v>0</v>
      </c>
      <c r="AV93">
        <f ca="1">IFERROR(IF(0=LEN(ReferenceData!$AV$93),"",ReferenceData!$AV$93),"")</f>
        <v>0</v>
      </c>
      <c r="AW93">
        <f ca="1">IFERROR(IF(0=LEN(ReferenceData!$AW$93),"",ReferenceData!$AW$93),"")</f>
        <v>0</v>
      </c>
      <c r="AX93">
        <f ca="1">IFERROR(IF(0=LEN(ReferenceData!$AX$93),"",ReferenceData!$AX$93),"")</f>
        <v>0</v>
      </c>
      <c r="AY93">
        <f ca="1">IFERROR(IF(0=LEN(ReferenceData!$AY$93),"",ReferenceData!$AY$93),"")</f>
        <v>0</v>
      </c>
      <c r="AZ93">
        <f ca="1">IFERROR(IF(0=LEN(ReferenceData!$AZ$93),"",ReferenceData!$AZ$93),"")</f>
        <v>0</v>
      </c>
      <c r="BA93">
        <f ca="1">IFERROR(IF(0=LEN(ReferenceData!$BA$93),"",ReferenceData!$BA$93),"")</f>
        <v>0</v>
      </c>
      <c r="BB93">
        <f ca="1">IFERROR(IF(0=LEN(ReferenceData!$BB$93),"",ReferenceData!$BB$93),"")</f>
        <v>0</v>
      </c>
      <c r="BC93">
        <f ca="1">IFERROR(IF(0=LEN(ReferenceData!$BC$93),"",ReferenceData!$BC$93),"")</f>
        <v>0</v>
      </c>
      <c r="BD93">
        <f ca="1">IFERROR(IF(0=LEN(ReferenceData!$BD$93),"",ReferenceData!$BD$93),"")</f>
        <v>0</v>
      </c>
      <c r="BE93">
        <f ca="1">IFERROR(IF(0=LEN(ReferenceData!$BE$93),"",ReferenceData!$BE$93),"")</f>
        <v>0</v>
      </c>
      <c r="BF93">
        <f ca="1">IFERROR(IF(0=LEN(ReferenceData!$BF$93),"",ReferenceData!$BF$93),"")</f>
        <v>0</v>
      </c>
      <c r="BG93">
        <f ca="1">IFERROR(IF(0=LEN(ReferenceData!$BG$93),"",ReferenceData!$BG$93),"")</f>
        <v>0</v>
      </c>
      <c r="BH93">
        <f ca="1">IFERROR(IF(0=LEN(ReferenceData!$BH$93),"",ReferenceData!$BH$93),"")</f>
        <v>0</v>
      </c>
      <c r="BI93">
        <f ca="1">IFERROR(IF(0=LEN(ReferenceData!$BI$93),"",ReferenceData!$BI$93),"")</f>
        <v>0</v>
      </c>
      <c r="BJ93">
        <f ca="1">IFERROR(IF(0=LEN(ReferenceData!$BJ$93),"",ReferenceData!$BJ$93),"")</f>
        <v>0</v>
      </c>
      <c r="BK93">
        <f ca="1">IFERROR(IF(0=LEN(ReferenceData!$BK$93),"",ReferenceData!$BK$93),"")</f>
        <v>0</v>
      </c>
      <c r="BL93">
        <f ca="1">IFERROR(IF(0=LEN(ReferenceData!$BL$93),"",ReferenceData!$BL$93),"")</f>
        <v>0</v>
      </c>
      <c r="BM93">
        <f ca="1">IFERROR(IF(0=LEN(ReferenceData!$BM$93),"",ReferenceData!$BM$93),"")</f>
        <v>0</v>
      </c>
    </row>
    <row r="94" spans="1:65" x14ac:dyDescent="0.25">
      <c r="A94" t="str">
        <f>IFERROR(IF(0=LEN(ReferenceData!$A$94),"",ReferenceData!$A$94),"")</f>
        <v xml:space="preserve">            East West Bancorp Inc</v>
      </c>
      <c r="B94" t="str">
        <f>IFERROR(IF(0=LEN(ReferenceData!$B$94),"",ReferenceData!$B$94),"")</f>
        <v>EWBC US Equity</v>
      </c>
      <c r="C94" t="str">
        <f>IFERROR(IF(0=LEN(ReferenceData!$C$94),"",ReferenceData!$C$94),"")</f>
        <v>FR531</v>
      </c>
      <c r="D94" t="str">
        <f>IFERROR(IF(0=LEN(ReferenceData!$D$94),"",ReferenceData!$D$94),"")</f>
        <v>FED_INVT_IN_RE_VENTURES</v>
      </c>
      <c r="E94" t="str">
        <f>IFERROR(IF(0=LEN(ReferenceData!$E$94),"",ReferenceData!$E$94),"")</f>
        <v>Dynamic</v>
      </c>
      <c r="F94">
        <f ca="1">IFERROR(IF(0=LEN(ReferenceData!$F$94),"",ReferenceData!$F$94),"")</f>
        <v>547.35900000000004</v>
      </c>
      <c r="G94">
        <f ca="1">IFERROR(IF(0=LEN(ReferenceData!$G$94),"",ReferenceData!$G$94),"")</f>
        <v>531.98199999999997</v>
      </c>
      <c r="H94">
        <f ca="1">IFERROR(IF(0=LEN(ReferenceData!$H$94),"",ReferenceData!$H$94),"")</f>
        <v>529.26700000000005</v>
      </c>
      <c r="I94">
        <f ca="1">IFERROR(IF(0=LEN(ReferenceData!$I$94),"",ReferenceData!$I$94),"")</f>
        <v>489.02199999999999</v>
      </c>
      <c r="J94">
        <f ca="1">IFERROR(IF(0=LEN(ReferenceData!$J$94),"",ReferenceData!$J$94),"")</f>
        <v>478.50599999999997</v>
      </c>
      <c r="K94">
        <f ca="1">IFERROR(IF(0=LEN(ReferenceData!$K$94),"",ReferenceData!$K$94),"")</f>
        <v>472.44299999999998</v>
      </c>
      <c r="L94">
        <f ca="1">IFERROR(IF(0=LEN(ReferenceData!$L$94),"",ReferenceData!$L$94),"")</f>
        <v>485.37099999999998</v>
      </c>
      <c r="M94">
        <f ca="1">IFERROR(IF(0=LEN(ReferenceData!$M$94),"",ReferenceData!$M$94),"")</f>
        <v>456.315</v>
      </c>
      <c r="N94">
        <f ca="1">IFERROR(IF(0=LEN(ReferenceData!$N$94),"",ReferenceData!$N$94),"")</f>
        <v>472.02100000000002</v>
      </c>
      <c r="O94">
        <f ca="1">IFERROR(IF(0=LEN(ReferenceData!$O$94),"",ReferenceData!$O$94),"")</f>
        <v>475.298</v>
      </c>
      <c r="P94">
        <f ca="1">IFERROR(IF(0=LEN(ReferenceData!$P$94),"",ReferenceData!$P$94),"")</f>
        <v>398.84300000000002</v>
      </c>
      <c r="Q94">
        <f ca="1">IFERROR(IF(0=LEN(ReferenceData!$Q$94),"",ReferenceData!$Q$94),"")</f>
        <v>375.33499999999998</v>
      </c>
      <c r="R94">
        <f ca="1">IFERROR(IF(0=LEN(ReferenceData!$R$94),"",ReferenceData!$R$94),"")</f>
        <v>383.84100000000001</v>
      </c>
      <c r="S94">
        <f ca="1">IFERROR(IF(0=LEN(ReferenceData!$S$94),"",ReferenceData!$S$94),"")</f>
        <v>397.77600000000001</v>
      </c>
      <c r="T94">
        <f ca="1">IFERROR(IF(0=LEN(ReferenceData!$T$94),"",ReferenceData!$T$94),"")</f>
        <v>388.24</v>
      </c>
      <c r="U94">
        <f ca="1">IFERROR(IF(0=LEN(ReferenceData!$U$94),"",ReferenceData!$U$94),"")</f>
        <v>383.26600000000002</v>
      </c>
      <c r="V94">
        <f ca="1">IFERROR(IF(0=LEN(ReferenceData!$V$94),"",ReferenceData!$V$94),"")</f>
        <v>286.565</v>
      </c>
      <c r="W94">
        <f ca="1">IFERROR(IF(0=LEN(ReferenceData!$W$94),"",ReferenceData!$W$94),"")</f>
        <v>257.99900000000002</v>
      </c>
      <c r="X94">
        <f ca="1">IFERROR(IF(0=LEN(ReferenceData!$X$94),"",ReferenceData!$X$94),"")</f>
        <v>274.82499999999999</v>
      </c>
      <c r="Y94">
        <f ca="1">IFERROR(IF(0=LEN(ReferenceData!$Y$94),"",ReferenceData!$Y$94),"")</f>
        <v>276.55900000000003</v>
      </c>
      <c r="Z94">
        <f ca="1">IFERROR(IF(0=LEN(ReferenceData!$Z$94),"",ReferenceData!$Z$94),"")</f>
        <v>274.73899999999998</v>
      </c>
      <c r="AA94">
        <f ca="1">IFERROR(IF(0=LEN(ReferenceData!$AA$94),"",ReferenceData!$AA$94),"")</f>
        <v>243.93299999999999</v>
      </c>
      <c r="AB94">
        <f ca="1">IFERROR(IF(0=LEN(ReferenceData!$AB$94),"",ReferenceData!$AB$94),"")</f>
        <v>260.197</v>
      </c>
      <c r="AC94">
        <f ca="1">IFERROR(IF(0=LEN(ReferenceData!$AC$94),"",ReferenceData!$AC$94),"")</f>
        <v>267.55500000000001</v>
      </c>
      <c r="AD94">
        <f ca="1">IFERROR(IF(0=LEN(ReferenceData!$AD$94),"",ReferenceData!$AD$94),"")</f>
        <v>262.154</v>
      </c>
      <c r="AE94">
        <f ca="1">IFERROR(IF(0=LEN(ReferenceData!$AE$94),"",ReferenceData!$AE$94),"")</f>
        <v>232.358</v>
      </c>
      <c r="AF94">
        <f ca="1">IFERROR(IF(0=LEN(ReferenceData!$AF$94),"",ReferenceData!$AF$94),"")</f>
        <v>239.12200000000001</v>
      </c>
      <c r="AG94">
        <f ca="1">IFERROR(IF(0=LEN(ReferenceData!$AG$94),"",ReferenceData!$AG$94),"")</f>
        <v>245.55699999999999</v>
      </c>
      <c r="AH94">
        <f ca="1">IFERROR(IF(0=LEN(ReferenceData!$AH$94),"",ReferenceData!$AH$94),"")</f>
        <v>253.05500000000001</v>
      </c>
      <c r="AI94">
        <f ca="1">IFERROR(IF(0=LEN(ReferenceData!$AI$94),"",ReferenceData!$AI$94),"")</f>
        <v>261.13799999999998</v>
      </c>
      <c r="AJ94">
        <f ca="1">IFERROR(IF(0=LEN(ReferenceData!$AJ$94),"",ReferenceData!$AJ$94),"")</f>
        <v>240.017</v>
      </c>
      <c r="AK94">
        <f ca="1">IFERROR(IF(0=LEN(ReferenceData!$AK$94),"",ReferenceData!$AK$94),"")</f>
        <v>249.87899999999999</v>
      </c>
      <c r="AL94">
        <f ca="1">IFERROR(IF(0=LEN(ReferenceData!$AL$94),"",ReferenceData!$AL$94),"")</f>
        <v>254.75899999999999</v>
      </c>
      <c r="AM94">
        <f ca="1">IFERROR(IF(0=LEN(ReferenceData!$AM$94),"",ReferenceData!$AM$94),"")</f>
        <v>237.28700000000001</v>
      </c>
      <c r="AN94">
        <f ca="1">IFERROR(IF(0=LEN(ReferenceData!$AN$94),"",ReferenceData!$AN$94),"")</f>
        <v>251.93</v>
      </c>
      <c r="AO94">
        <f ca="1">IFERROR(IF(0=LEN(ReferenceData!$AO$94),"",ReferenceData!$AO$94),"")</f>
        <v>253.77199999999999</v>
      </c>
      <c r="AP94">
        <f ca="1">IFERROR(IF(0=LEN(ReferenceData!$AP$94),"",ReferenceData!$AP$94),"")</f>
        <v>262.34800000000001</v>
      </c>
      <c r="AQ94">
        <f ca="1">IFERROR(IF(0=LEN(ReferenceData!$AQ$94),"",ReferenceData!$AQ$94),"")</f>
        <v>213.648</v>
      </c>
      <c r="AR94">
        <f ca="1">IFERROR(IF(0=LEN(ReferenceData!$AR$94),"",ReferenceData!$AR$94),"")</f>
        <v>216.488</v>
      </c>
      <c r="AS94">
        <f ca="1">IFERROR(IF(0=LEN(ReferenceData!$AS$94),"",ReferenceData!$AS$94),"")</f>
        <v>204.61600000000001</v>
      </c>
      <c r="AT94">
        <f ca="1">IFERROR(IF(0=LEN(ReferenceData!$AT$94),"",ReferenceData!$AT$94),"")</f>
        <v>180.33500000000001</v>
      </c>
      <c r="AU94">
        <f ca="1">IFERROR(IF(0=LEN(ReferenceData!$AU$94),"",ReferenceData!$AU$94),"")</f>
        <v>181.648</v>
      </c>
      <c r="AV94">
        <f ca="1">IFERROR(IF(0=LEN(ReferenceData!$AV$94),"",ReferenceData!$AV$94),"")</f>
        <v>184.053</v>
      </c>
      <c r="AW94">
        <f ca="1">IFERROR(IF(0=LEN(ReferenceData!$AW$94),"",ReferenceData!$AW$94),"")</f>
        <v>191.553</v>
      </c>
      <c r="AX94">
        <f ca="1">IFERROR(IF(0=LEN(ReferenceData!$AX$94),"",ReferenceData!$AX$94),"")</f>
        <v>167.02699999999999</v>
      </c>
      <c r="AY94">
        <f ca="1">IFERROR(IF(0=LEN(ReferenceData!$AY$94),"",ReferenceData!$AY$94),"")</f>
        <v>170.92400000000001</v>
      </c>
      <c r="AZ94">
        <f ca="1">IFERROR(IF(0=LEN(ReferenceData!$AZ$94),"",ReferenceData!$AZ$94),"")</f>
        <v>175.95</v>
      </c>
      <c r="BA94">
        <f ca="1">IFERROR(IF(0=LEN(ReferenceData!$BA$94),"",ReferenceData!$BA$94),"")</f>
        <v>181.42400000000001</v>
      </c>
      <c r="BB94">
        <f ca="1">IFERROR(IF(0=LEN(ReferenceData!$BB$94),"",ReferenceData!$BB$94),"")</f>
        <v>185.18100000000001</v>
      </c>
      <c r="BC94">
        <f ca="1">IFERROR(IF(0=LEN(ReferenceData!$BC$94),"",ReferenceData!$BC$94),"")</f>
        <v>178.096</v>
      </c>
      <c r="BD94">
        <f ca="1">IFERROR(IF(0=LEN(ReferenceData!$BD$94),"",ReferenceData!$BD$94),"")</f>
        <v>180.87100000000001</v>
      </c>
      <c r="BE94">
        <f ca="1">IFERROR(IF(0=LEN(ReferenceData!$BE$94),"",ReferenceData!$BE$94),"")</f>
        <v>159.691</v>
      </c>
      <c r="BF94">
        <f ca="1">IFERROR(IF(0=LEN(ReferenceData!$BF$94),"",ReferenceData!$BF$94),"")</f>
        <v>143.46100000000001</v>
      </c>
      <c r="BG94">
        <f ca="1">IFERROR(IF(0=LEN(ReferenceData!$BG$94),"",ReferenceData!$BG$94),"")</f>
        <v>171.47900000000001</v>
      </c>
      <c r="BH94">
        <f ca="1">IFERROR(IF(0=LEN(ReferenceData!$BH$94),"",ReferenceData!$BH$94),"")</f>
        <v>176.52</v>
      </c>
      <c r="BI94">
        <f ca="1">IFERROR(IF(0=LEN(ReferenceData!$BI$94),"",ReferenceData!$BI$94),"")</f>
        <v>57.863</v>
      </c>
      <c r="BJ94">
        <f ca="1">IFERROR(IF(0=LEN(ReferenceData!$BJ$94),"",ReferenceData!$BJ$94),"")</f>
        <v>37.712000000000003</v>
      </c>
      <c r="BK94">
        <f ca="1">IFERROR(IF(0=LEN(ReferenceData!$BK$94),"",ReferenceData!$BK$94),"")</f>
        <v>38.732999999999997</v>
      </c>
      <c r="BL94">
        <f ca="1">IFERROR(IF(0=LEN(ReferenceData!$BL$94),"",ReferenceData!$BL$94),"")</f>
        <v>84.521000000000001</v>
      </c>
      <c r="BM94" t="str">
        <f ca="1">IFERROR(IF(0=LEN(ReferenceData!$BM$94),"",ReferenceData!$BM$94),"")</f>
        <v/>
      </c>
    </row>
    <row r="95" spans="1:65" x14ac:dyDescent="0.25">
      <c r="A95" t="str">
        <f>IFERROR(IF(0=LEN(ReferenceData!$A$95),"",ReferenceData!$A$95),"")</f>
        <v xml:space="preserve">            Fifth Third Bancorp</v>
      </c>
      <c r="B95" t="str">
        <f>IFERROR(IF(0=LEN(ReferenceData!$B$95),"",ReferenceData!$B$95),"")</f>
        <v>FITB US Equity</v>
      </c>
      <c r="C95" t="str">
        <f>IFERROR(IF(0=LEN(ReferenceData!$C$95),"",ReferenceData!$C$95),"")</f>
        <v>FR531</v>
      </c>
      <c r="D95" t="str">
        <f>IFERROR(IF(0=LEN(ReferenceData!$D$95),"",ReferenceData!$D$95),"")</f>
        <v>FED_INVT_IN_RE_VENTURES</v>
      </c>
      <c r="E95" t="str">
        <f>IFERROR(IF(0=LEN(ReferenceData!$E$95),"",ReferenceData!$E$95),"")</f>
        <v>Dynamic</v>
      </c>
      <c r="F95">
        <f ca="1">IFERROR(IF(0=LEN(ReferenceData!$F$95),"",ReferenceData!$F$95),"")</f>
        <v>1975</v>
      </c>
      <c r="G95">
        <f ca="1">IFERROR(IF(0=LEN(ReferenceData!$G$95),"",ReferenceData!$G$95),"")</f>
        <v>1932</v>
      </c>
      <c r="H95">
        <f ca="1">IFERROR(IF(0=LEN(ReferenceData!$H$95),"",ReferenceData!$H$95),"")</f>
        <v>1927</v>
      </c>
      <c r="I95">
        <f ca="1">IFERROR(IF(0=LEN(ReferenceData!$I$95),"",ReferenceData!$I$95),"")</f>
        <v>1789</v>
      </c>
      <c r="J95">
        <f ca="1">IFERROR(IF(0=LEN(ReferenceData!$J$95),"",ReferenceData!$J$95),"")</f>
        <v>1799</v>
      </c>
      <c r="K95">
        <f ca="1">IFERROR(IF(0=LEN(ReferenceData!$K$95),"",ReferenceData!$K$95),"")</f>
        <v>1747</v>
      </c>
      <c r="L95">
        <f ca="1">IFERROR(IF(0=LEN(ReferenceData!$L$95),"",ReferenceData!$L$95),"")</f>
        <v>1739</v>
      </c>
      <c r="M95">
        <f ca="1">IFERROR(IF(0=LEN(ReferenceData!$M$95),"",ReferenceData!$M$95),"")</f>
        <v>1730</v>
      </c>
      <c r="N95">
        <f ca="1">IFERROR(IF(0=LEN(ReferenceData!$N$95),"",ReferenceData!$N$95),"")</f>
        <v>1693.4860000000001</v>
      </c>
      <c r="O95">
        <f ca="1">IFERROR(IF(0=LEN(ReferenceData!$O$95),"",ReferenceData!$O$95),"")</f>
        <v>1625.5989999999999</v>
      </c>
      <c r="P95">
        <f ca="1">IFERROR(IF(0=LEN(ReferenceData!$P$95),"",ReferenceData!$P$95),"")</f>
        <v>1595.6759999999999</v>
      </c>
      <c r="Q95">
        <f ca="1">IFERROR(IF(0=LEN(ReferenceData!$Q$95),"",ReferenceData!$Q$95),"")</f>
        <v>1547.973</v>
      </c>
      <c r="R95">
        <f ca="1">IFERROR(IF(0=LEN(ReferenceData!$R$95),"",ReferenceData!$R$95),"")</f>
        <v>1582.0809999999999</v>
      </c>
      <c r="S95">
        <f ca="1">IFERROR(IF(0=LEN(ReferenceData!$S$95),"",ReferenceData!$S$95),"")</f>
        <v>1536.1420000000001</v>
      </c>
      <c r="T95">
        <f ca="1">IFERROR(IF(0=LEN(ReferenceData!$T$95),"",ReferenceData!$T$95),"")</f>
        <v>1539.12</v>
      </c>
      <c r="U95">
        <f ca="1">IFERROR(IF(0=LEN(ReferenceData!$U$95),"",ReferenceData!$U$95),"")</f>
        <v>1150.7529999999999</v>
      </c>
      <c r="V95">
        <f ca="1">IFERROR(IF(0=LEN(ReferenceData!$V$95),"",ReferenceData!$V$95),"")</f>
        <v>1139.279</v>
      </c>
      <c r="W95">
        <f ca="1">IFERROR(IF(0=LEN(ReferenceData!$W$95),"",ReferenceData!$W$95),"")</f>
        <v>1078.1579999999999</v>
      </c>
      <c r="X95">
        <f ca="1">IFERROR(IF(0=LEN(ReferenceData!$X$95),"",ReferenceData!$X$95),"")</f>
        <v>1049.2190000000001</v>
      </c>
      <c r="Y95">
        <f ca="1">IFERROR(IF(0=LEN(ReferenceData!$Y$95),"",ReferenceData!$Y$95),"")</f>
        <v>1073.2449999999999</v>
      </c>
      <c r="Z95">
        <f ca="1">IFERROR(IF(0=LEN(ReferenceData!$Z$95),"",ReferenceData!$Z$95),"")</f>
        <v>1172.384</v>
      </c>
      <c r="AA95">
        <f ca="1">IFERROR(IF(0=LEN(ReferenceData!$AA$95),"",ReferenceData!$AA$95),"")</f>
        <v>1054.451</v>
      </c>
      <c r="AB95">
        <f ca="1">IFERROR(IF(0=LEN(ReferenceData!$AB$95),"",ReferenceData!$AB$95),"")</f>
        <v>927.69200000000001</v>
      </c>
      <c r="AC95">
        <f ca="1">IFERROR(IF(0=LEN(ReferenceData!$AC$95),"",ReferenceData!$AC$95),"")</f>
        <v>833.226</v>
      </c>
      <c r="AD95">
        <f ca="1">IFERROR(IF(0=LEN(ReferenceData!$AD$95),"",ReferenceData!$AD$95),"")</f>
        <v>844.52200000000005</v>
      </c>
      <c r="AE95">
        <f ca="1">IFERROR(IF(0=LEN(ReferenceData!$AE$95),"",ReferenceData!$AE$95),"")</f>
        <v>892.72</v>
      </c>
      <c r="AF95">
        <f ca="1">IFERROR(IF(0=LEN(ReferenceData!$AF$95),"",ReferenceData!$AF$95),"")</f>
        <v>894.005</v>
      </c>
      <c r="AG95">
        <f ca="1">IFERROR(IF(0=LEN(ReferenceData!$AG$95),"",ReferenceData!$AG$95),"")</f>
        <v>1016.759</v>
      </c>
      <c r="AH95">
        <f ca="1">IFERROR(IF(0=LEN(ReferenceData!$AH$95),"",ReferenceData!$AH$95),"")</f>
        <v>1314.904</v>
      </c>
      <c r="AI95">
        <f ca="1">IFERROR(IF(0=LEN(ReferenceData!$AI$95),"",ReferenceData!$AI$95),"")</f>
        <v>1367.28</v>
      </c>
      <c r="AJ95">
        <f ca="1">IFERROR(IF(0=LEN(ReferenceData!$AJ$95),"",ReferenceData!$AJ$95),"")</f>
        <v>1398.058</v>
      </c>
      <c r="AK95">
        <f ca="1">IFERROR(IF(0=LEN(ReferenceData!$AK$95),"",ReferenceData!$AK$95),"")</f>
        <v>1325.5609999999999</v>
      </c>
      <c r="AL95">
        <f ca="1">IFERROR(IF(0=LEN(ReferenceData!$AL$95),"",ReferenceData!$AL$95),"")</f>
        <v>1324.721</v>
      </c>
      <c r="AM95">
        <f ca="1">IFERROR(IF(0=LEN(ReferenceData!$AM$95),"",ReferenceData!$AM$95),"")</f>
        <v>1297.8050000000001</v>
      </c>
      <c r="AN95">
        <f ca="1">IFERROR(IF(0=LEN(ReferenceData!$AN$95),"",ReferenceData!$AN$95),"")</f>
        <v>1291.0129999999999</v>
      </c>
      <c r="AO95">
        <f ca="1">IFERROR(IF(0=LEN(ReferenceData!$AO$95),"",ReferenceData!$AO$95),"")</f>
        <v>1284.0419999999999</v>
      </c>
      <c r="AP95">
        <f ca="1">IFERROR(IF(0=LEN(ReferenceData!$AP$95),"",ReferenceData!$AP$95),"")</f>
        <v>1319.4559999999999</v>
      </c>
      <c r="AQ95">
        <f ca="1">IFERROR(IF(0=LEN(ReferenceData!$AQ$95),"",ReferenceData!$AQ$95),"")</f>
        <v>1308.826</v>
      </c>
      <c r="AR95">
        <f ca="1">IFERROR(IF(0=LEN(ReferenceData!$AR$95),"",ReferenceData!$AR$95),"")</f>
        <v>1291.2280000000001</v>
      </c>
      <c r="AS95">
        <f ca="1">IFERROR(IF(0=LEN(ReferenceData!$AS$95),"",ReferenceData!$AS$95),"")</f>
        <v>1254.617</v>
      </c>
      <c r="AT95">
        <f ca="1">IFERROR(IF(0=LEN(ReferenceData!$AT$95),"",ReferenceData!$AT$95),"")</f>
        <v>1270.829</v>
      </c>
      <c r="AU95">
        <f ca="1">IFERROR(IF(0=LEN(ReferenceData!$AU$95),"",ReferenceData!$AU$95),"")</f>
        <v>1240.8030000000001</v>
      </c>
      <c r="AV95">
        <f ca="1">IFERROR(IF(0=LEN(ReferenceData!$AV$95),"",ReferenceData!$AV$95),"")</f>
        <v>1230.5650000000001</v>
      </c>
      <c r="AW95">
        <f ca="1">IFERROR(IF(0=LEN(ReferenceData!$AW$95),"",ReferenceData!$AW$95),"")</f>
        <v>1211.7840000000001</v>
      </c>
      <c r="AX95">
        <f ca="1">IFERROR(IF(0=LEN(ReferenceData!$AX$95),"",ReferenceData!$AX$95),"")</f>
        <v>1201.097</v>
      </c>
      <c r="AY95">
        <f ca="1">IFERROR(IF(0=LEN(ReferenceData!$AY$95),"",ReferenceData!$AY$95),"")</f>
        <v>1173.6220000000001</v>
      </c>
      <c r="AZ95">
        <f ca="1">IFERROR(IF(0=LEN(ReferenceData!$AZ$95),"",ReferenceData!$AZ$95),"")</f>
        <v>1148.6849999999999</v>
      </c>
      <c r="BA95">
        <f ca="1">IFERROR(IF(0=LEN(ReferenceData!$BA$95),"",ReferenceData!$BA$95),"")</f>
        <v>1093.548</v>
      </c>
      <c r="BB95">
        <f ca="1">IFERROR(IF(0=LEN(ReferenceData!$BB$95),"",ReferenceData!$BB$95),"")</f>
        <v>1118.71</v>
      </c>
      <c r="BC95">
        <f ca="1">IFERROR(IF(0=LEN(ReferenceData!$BC$95),"",ReferenceData!$BC$95),"")</f>
        <v>1057.6890000000001</v>
      </c>
      <c r="BD95">
        <f ca="1">IFERROR(IF(0=LEN(ReferenceData!$BD$95),"",ReferenceData!$BD$95),"")</f>
        <v>988.505</v>
      </c>
      <c r="BE95">
        <f ca="1">IFERROR(IF(0=LEN(ReferenceData!$BE$95),"",ReferenceData!$BE$95),"")</f>
        <v>922.12800000000004</v>
      </c>
      <c r="BF95">
        <f ca="1">IFERROR(IF(0=LEN(ReferenceData!$BF$95),"",ReferenceData!$BF$95),"")</f>
        <v>925.85599999999999</v>
      </c>
      <c r="BG95">
        <f ca="1">IFERROR(IF(0=LEN(ReferenceData!$BG$95),"",ReferenceData!$BG$95),"")</f>
        <v>964.9</v>
      </c>
      <c r="BH95">
        <f ca="1">IFERROR(IF(0=LEN(ReferenceData!$BH$95),"",ReferenceData!$BH$95),"")</f>
        <v>962.01900000000001</v>
      </c>
      <c r="BI95">
        <f ca="1">IFERROR(IF(0=LEN(ReferenceData!$BI$95),"",ReferenceData!$BI$95),"")</f>
        <v>946.87199999999996</v>
      </c>
      <c r="BJ95">
        <f ca="1">IFERROR(IF(0=LEN(ReferenceData!$BJ$95),"",ReferenceData!$BJ$95),"")</f>
        <v>953.36</v>
      </c>
      <c r="BK95">
        <f ca="1">IFERROR(IF(0=LEN(ReferenceData!$BK$95),"",ReferenceData!$BK$95),"")</f>
        <v>852.26700000000005</v>
      </c>
      <c r="BL95">
        <f ca="1">IFERROR(IF(0=LEN(ReferenceData!$BL$95),"",ReferenceData!$BL$95),"")</f>
        <v>841.69200000000001</v>
      </c>
      <c r="BM95" t="str">
        <f ca="1">IFERROR(IF(0=LEN(ReferenceData!$BM$95),"",ReferenceData!$BM$95),"")</f>
        <v/>
      </c>
    </row>
    <row r="96" spans="1:65" x14ac:dyDescent="0.25">
      <c r="A96" t="str">
        <f>IFERROR(IF(0=LEN(ReferenceData!$A$96),"",ReferenceData!$A$96),"")</f>
        <v xml:space="preserve">            First Citizens BancShares Inc/</v>
      </c>
      <c r="B96" t="str">
        <f>IFERROR(IF(0=LEN(ReferenceData!$B$96),"",ReferenceData!$B$96),"")</f>
        <v>FCNCA US Equity</v>
      </c>
      <c r="C96" t="str">
        <f>IFERROR(IF(0=LEN(ReferenceData!$C$96),"",ReferenceData!$C$96),"")</f>
        <v>FR531</v>
      </c>
      <c r="D96" t="str">
        <f>IFERROR(IF(0=LEN(ReferenceData!$D$96),"",ReferenceData!$D$96),"")</f>
        <v>FED_INVT_IN_RE_VENTURES</v>
      </c>
      <c r="E96" t="str">
        <f>IFERROR(IF(0=LEN(ReferenceData!$E$96),"",ReferenceData!$E$96),"")</f>
        <v>Dynamic</v>
      </c>
      <c r="F96">
        <f ca="1">IFERROR(IF(0=LEN(ReferenceData!$F$96),"",ReferenceData!$F$96),"")</f>
        <v>2381</v>
      </c>
      <c r="G96">
        <f ca="1">IFERROR(IF(0=LEN(ReferenceData!$G$96),"",ReferenceData!$G$96),"")</f>
        <v>2087</v>
      </c>
      <c r="H96">
        <f ca="1">IFERROR(IF(0=LEN(ReferenceData!$H$96),"",ReferenceData!$H$96),"")</f>
        <v>2113</v>
      </c>
      <c r="I96">
        <f ca="1">IFERROR(IF(0=LEN(ReferenceData!$I$96),"",ReferenceData!$I$96),"")</f>
        <v>26</v>
      </c>
      <c r="J96">
        <f ca="1">IFERROR(IF(0=LEN(ReferenceData!$J$96),"",ReferenceData!$J$96),"")</f>
        <v>31.856999999999999</v>
      </c>
      <c r="K96">
        <f ca="1">IFERROR(IF(0=LEN(ReferenceData!$K$96),"",ReferenceData!$K$96),"")</f>
        <v>31.451000000000001</v>
      </c>
      <c r="L96">
        <f ca="1">IFERROR(IF(0=LEN(ReferenceData!$L$96),"",ReferenceData!$L$96),"")</f>
        <v>36.472000000000001</v>
      </c>
      <c r="M96">
        <f ca="1">IFERROR(IF(0=LEN(ReferenceData!$M$96),"",ReferenceData!$M$96),"")</f>
        <v>35.929000000000002</v>
      </c>
      <c r="N96">
        <f ca="1">IFERROR(IF(0=LEN(ReferenceData!$N$96),"",ReferenceData!$N$96),"")</f>
        <v>36.210999999999999</v>
      </c>
      <c r="O96">
        <f ca="1">IFERROR(IF(0=LEN(ReferenceData!$O$96),"",ReferenceData!$O$96),"")</f>
        <v>38.651000000000003</v>
      </c>
      <c r="P96">
        <f ca="1">IFERROR(IF(0=LEN(ReferenceData!$P$96),"",ReferenceData!$P$96),"")</f>
        <v>48.463000000000001</v>
      </c>
      <c r="Q96">
        <f ca="1">IFERROR(IF(0=LEN(ReferenceData!$Q$96),"",ReferenceData!$Q$96),"")</f>
        <v>68.954999999999998</v>
      </c>
      <c r="R96">
        <f ca="1">IFERROR(IF(0=LEN(ReferenceData!$R$96),"",ReferenceData!$R$96),"")</f>
        <v>0</v>
      </c>
      <c r="S96">
        <f ca="1">IFERROR(IF(0=LEN(ReferenceData!$S$96),"",ReferenceData!$S$96),"")</f>
        <v>0</v>
      </c>
      <c r="T96">
        <f ca="1">IFERROR(IF(0=LEN(ReferenceData!$T$96),"",ReferenceData!$T$96),"")</f>
        <v>0</v>
      </c>
      <c r="U96">
        <f ca="1">IFERROR(IF(0=LEN(ReferenceData!$U$96),"",ReferenceData!$U$96),"")</f>
        <v>0</v>
      </c>
      <c r="V96">
        <f ca="1">IFERROR(IF(0=LEN(ReferenceData!$V$96),"",ReferenceData!$V$96),"")</f>
        <v>0</v>
      </c>
      <c r="W96">
        <f ca="1">IFERROR(IF(0=LEN(ReferenceData!$W$96),"",ReferenceData!$W$96),"")</f>
        <v>0</v>
      </c>
      <c r="X96">
        <f ca="1">IFERROR(IF(0=LEN(ReferenceData!$X$96),"",ReferenceData!$X$96),"")</f>
        <v>0</v>
      </c>
      <c r="Y96">
        <f ca="1">IFERROR(IF(0=LEN(ReferenceData!$Y$96),"",ReferenceData!$Y$96),"")</f>
        <v>0</v>
      </c>
      <c r="Z96">
        <f ca="1">IFERROR(IF(0=LEN(ReferenceData!$Z$96),"",ReferenceData!$Z$96),"")</f>
        <v>0</v>
      </c>
      <c r="AA96">
        <f ca="1">IFERROR(IF(0=LEN(ReferenceData!$AA$96),"",ReferenceData!$AA$96),"")</f>
        <v>0</v>
      </c>
      <c r="AB96">
        <f ca="1">IFERROR(IF(0=LEN(ReferenceData!$AB$96),"",ReferenceData!$AB$96),"")</f>
        <v>0</v>
      </c>
      <c r="AC96">
        <f ca="1">IFERROR(IF(0=LEN(ReferenceData!$AC$96),"",ReferenceData!$AC$96),"")</f>
        <v>0</v>
      </c>
      <c r="AD96">
        <f ca="1">IFERROR(IF(0=LEN(ReferenceData!$AD$96),"",ReferenceData!$AD$96),"")</f>
        <v>0</v>
      </c>
      <c r="AE96">
        <f ca="1">IFERROR(IF(0=LEN(ReferenceData!$AE$96),"",ReferenceData!$AE$96),"")</f>
        <v>0</v>
      </c>
      <c r="AF96">
        <f ca="1">IFERROR(IF(0=LEN(ReferenceData!$AF$96),"",ReferenceData!$AF$96),"")</f>
        <v>0</v>
      </c>
      <c r="AG96">
        <f ca="1">IFERROR(IF(0=LEN(ReferenceData!$AG$96),"",ReferenceData!$AG$96),"")</f>
        <v>0</v>
      </c>
      <c r="AH96">
        <f ca="1">IFERROR(IF(0=LEN(ReferenceData!$AH$96),"",ReferenceData!$AH$96),"")</f>
        <v>0</v>
      </c>
      <c r="AI96">
        <f ca="1">IFERROR(IF(0=LEN(ReferenceData!$AI$96),"",ReferenceData!$AI$96),"")</f>
        <v>0</v>
      </c>
      <c r="AJ96">
        <f ca="1">IFERROR(IF(0=LEN(ReferenceData!$AJ$96),"",ReferenceData!$AJ$96),"")</f>
        <v>0</v>
      </c>
      <c r="AK96">
        <f ca="1">IFERROR(IF(0=LEN(ReferenceData!$AK$96),"",ReferenceData!$AK$96),"")</f>
        <v>0</v>
      </c>
      <c r="AL96">
        <f ca="1">IFERROR(IF(0=LEN(ReferenceData!$AL$96),"",ReferenceData!$AL$96),"")</f>
        <v>0</v>
      </c>
      <c r="AM96">
        <f ca="1">IFERROR(IF(0=LEN(ReferenceData!$AM$96),"",ReferenceData!$AM$96),"")</f>
        <v>0</v>
      </c>
      <c r="AN96">
        <f ca="1">IFERROR(IF(0=LEN(ReferenceData!$AN$96),"",ReferenceData!$AN$96),"")</f>
        <v>0</v>
      </c>
      <c r="AO96">
        <f ca="1">IFERROR(IF(0=LEN(ReferenceData!$AO$96),"",ReferenceData!$AO$96),"")</f>
        <v>0</v>
      </c>
      <c r="AP96">
        <f ca="1">IFERROR(IF(0=LEN(ReferenceData!$AP$96),"",ReferenceData!$AP$96),"")</f>
        <v>0</v>
      </c>
      <c r="AQ96">
        <f ca="1">IFERROR(IF(0=LEN(ReferenceData!$AQ$96),"",ReferenceData!$AQ$96),"")</f>
        <v>0</v>
      </c>
      <c r="AR96">
        <f ca="1">IFERROR(IF(0=LEN(ReferenceData!$AR$96),"",ReferenceData!$AR$96),"")</f>
        <v>0</v>
      </c>
      <c r="AS96">
        <f ca="1">IFERROR(IF(0=LEN(ReferenceData!$AS$96),"",ReferenceData!$AS$96),"")</f>
        <v>0</v>
      </c>
      <c r="AT96">
        <f ca="1">IFERROR(IF(0=LEN(ReferenceData!$AT$96),"",ReferenceData!$AT$96),"")</f>
        <v>0</v>
      </c>
      <c r="AU96">
        <f ca="1">IFERROR(IF(0=LEN(ReferenceData!$AU$96),"",ReferenceData!$AU$96),"")</f>
        <v>0</v>
      </c>
      <c r="AV96">
        <f ca="1">IFERROR(IF(0=LEN(ReferenceData!$AV$96),"",ReferenceData!$AV$96),"")</f>
        <v>0</v>
      </c>
      <c r="AW96">
        <f ca="1">IFERROR(IF(0=LEN(ReferenceData!$AW$96),"",ReferenceData!$AW$96),"")</f>
        <v>0</v>
      </c>
      <c r="AX96">
        <f ca="1">IFERROR(IF(0=LEN(ReferenceData!$AX$96),"",ReferenceData!$AX$96),"")</f>
        <v>0</v>
      </c>
      <c r="AY96">
        <f ca="1">IFERROR(IF(0=LEN(ReferenceData!$AY$96),"",ReferenceData!$AY$96),"")</f>
        <v>0</v>
      </c>
      <c r="AZ96">
        <f ca="1">IFERROR(IF(0=LEN(ReferenceData!$AZ$96),"",ReferenceData!$AZ$96),"")</f>
        <v>0</v>
      </c>
      <c r="BA96">
        <f ca="1">IFERROR(IF(0=LEN(ReferenceData!$BA$96),"",ReferenceData!$BA$96),"")</f>
        <v>0</v>
      </c>
      <c r="BB96">
        <f ca="1">IFERROR(IF(0=LEN(ReferenceData!$BB$96),"",ReferenceData!$BB$96),"")</f>
        <v>0</v>
      </c>
      <c r="BC96">
        <f ca="1">IFERROR(IF(0=LEN(ReferenceData!$BC$96),"",ReferenceData!$BC$96),"")</f>
        <v>0</v>
      </c>
      <c r="BD96">
        <f ca="1">IFERROR(IF(0=LEN(ReferenceData!$BD$96),"",ReferenceData!$BD$96),"")</f>
        <v>0</v>
      </c>
      <c r="BE96">
        <f ca="1">IFERROR(IF(0=LEN(ReferenceData!$BE$96),"",ReferenceData!$BE$96),"")</f>
        <v>0</v>
      </c>
      <c r="BF96">
        <f ca="1">IFERROR(IF(0=LEN(ReferenceData!$BF$96),"",ReferenceData!$BF$96),"")</f>
        <v>0</v>
      </c>
      <c r="BG96">
        <f ca="1">IFERROR(IF(0=LEN(ReferenceData!$BG$96),"",ReferenceData!$BG$96),"")</f>
        <v>0</v>
      </c>
      <c r="BH96">
        <f ca="1">IFERROR(IF(0=LEN(ReferenceData!$BH$96),"",ReferenceData!$BH$96),"")</f>
        <v>0</v>
      </c>
      <c r="BI96">
        <f ca="1">IFERROR(IF(0=LEN(ReferenceData!$BI$96),"",ReferenceData!$BI$96),"")</f>
        <v>0</v>
      </c>
      <c r="BJ96">
        <f ca="1">IFERROR(IF(0=LEN(ReferenceData!$BJ$96),"",ReferenceData!$BJ$96),"")</f>
        <v>0</v>
      </c>
      <c r="BK96">
        <f ca="1">IFERROR(IF(0=LEN(ReferenceData!$BK$96),"",ReferenceData!$BK$96),"")</f>
        <v>0</v>
      </c>
      <c r="BL96">
        <f ca="1">IFERROR(IF(0=LEN(ReferenceData!$BL$96),"",ReferenceData!$BL$96),"")</f>
        <v>0</v>
      </c>
      <c r="BM96" t="str">
        <f ca="1">IFERROR(IF(0=LEN(ReferenceData!$BM$96),"",ReferenceData!$BM$96),"")</f>
        <v/>
      </c>
    </row>
    <row r="97" spans="1:65" x14ac:dyDescent="0.25">
      <c r="A97" t="str">
        <f>IFERROR(IF(0=LEN(ReferenceData!$A$97),"",ReferenceData!$A$97),"")</f>
        <v xml:space="preserve">            Flagstar Financial Inc</v>
      </c>
      <c r="B97" t="str">
        <f>IFERROR(IF(0=LEN(ReferenceData!$B$97),"",ReferenceData!$B$97),"")</f>
        <v>FLG US Equity</v>
      </c>
      <c r="C97" t="str">
        <f>IFERROR(IF(0=LEN(ReferenceData!$C$97),"",ReferenceData!$C$97),"")</f>
        <v>FR531</v>
      </c>
      <c r="D97" t="str">
        <f>IFERROR(IF(0=LEN(ReferenceData!$D$97),"",ReferenceData!$D$97),"")</f>
        <v>FED_INVT_IN_RE_VENTURES</v>
      </c>
      <c r="E97" t="str">
        <f>IFERROR(IF(0=LEN(ReferenceData!$E$97),"",ReferenceData!$E$97),"")</f>
        <v>Dynamic</v>
      </c>
      <c r="F97">
        <f ca="1">IFERROR(IF(0=LEN(ReferenceData!$F$97),"",ReferenceData!$F$97),"")</f>
        <v>0</v>
      </c>
      <c r="G97">
        <f ca="1">IFERROR(IF(0=LEN(ReferenceData!$G$97),"",ReferenceData!$G$97),"")</f>
        <v>0</v>
      </c>
      <c r="H97">
        <f ca="1">IFERROR(IF(0=LEN(ReferenceData!$H$97),"",ReferenceData!$H$97),"")</f>
        <v>0</v>
      </c>
      <c r="I97">
        <f ca="1">IFERROR(IF(0=LEN(ReferenceData!$I$97),"",ReferenceData!$I$97),"")</f>
        <v>0</v>
      </c>
      <c r="J97">
        <f ca="1">IFERROR(IF(0=LEN(ReferenceData!$J$97),"",ReferenceData!$J$97),"")</f>
        <v>0</v>
      </c>
      <c r="K97">
        <f ca="1">IFERROR(IF(0=LEN(ReferenceData!$K$97),"",ReferenceData!$K$97),"")</f>
        <v>0</v>
      </c>
      <c r="L97">
        <f ca="1">IFERROR(IF(0=LEN(ReferenceData!$L$97),"",ReferenceData!$L$97),"")</f>
        <v>0</v>
      </c>
      <c r="M97">
        <f ca="1">IFERROR(IF(0=LEN(ReferenceData!$M$97),"",ReferenceData!$M$97),"")</f>
        <v>0</v>
      </c>
      <c r="N97">
        <f ca="1">IFERROR(IF(0=LEN(ReferenceData!$N$97),"",ReferenceData!$N$97),"")</f>
        <v>0</v>
      </c>
      <c r="O97">
        <f ca="1">IFERROR(IF(0=LEN(ReferenceData!$O$97),"",ReferenceData!$O$97),"")</f>
        <v>0</v>
      </c>
      <c r="P97">
        <f ca="1">IFERROR(IF(0=LEN(ReferenceData!$P$97),"",ReferenceData!$P$97),"")</f>
        <v>0</v>
      </c>
      <c r="Q97">
        <f ca="1">IFERROR(IF(0=LEN(ReferenceData!$Q$97),"",ReferenceData!$Q$97),"")</f>
        <v>0</v>
      </c>
      <c r="R97">
        <f ca="1">IFERROR(IF(0=LEN(ReferenceData!$R$97),"",ReferenceData!$R$97),"")</f>
        <v>0</v>
      </c>
      <c r="S97">
        <f ca="1">IFERROR(IF(0=LEN(ReferenceData!$S$97),"",ReferenceData!$S$97),"")</f>
        <v>0</v>
      </c>
      <c r="T97">
        <f ca="1">IFERROR(IF(0=LEN(ReferenceData!$T$97),"",ReferenceData!$T$97),"")</f>
        <v>0</v>
      </c>
      <c r="U97">
        <f ca="1">IFERROR(IF(0=LEN(ReferenceData!$U$97),"",ReferenceData!$U$97),"")</f>
        <v>0</v>
      </c>
      <c r="V97">
        <f ca="1">IFERROR(IF(0=LEN(ReferenceData!$V$97),"",ReferenceData!$V$97),"")</f>
        <v>0</v>
      </c>
      <c r="W97">
        <f ca="1">IFERROR(IF(0=LEN(ReferenceData!$W$97),"",ReferenceData!$W$97),"")</f>
        <v>0</v>
      </c>
      <c r="X97">
        <f ca="1">IFERROR(IF(0=LEN(ReferenceData!$X$97),"",ReferenceData!$X$97),"")</f>
        <v>0</v>
      </c>
      <c r="Y97">
        <f ca="1">IFERROR(IF(0=LEN(ReferenceData!$Y$97),"",ReferenceData!$Y$97),"")</f>
        <v>0</v>
      </c>
      <c r="Z97">
        <f ca="1">IFERROR(IF(0=LEN(ReferenceData!$Z$97),"",ReferenceData!$Z$97),"")</f>
        <v>0</v>
      </c>
      <c r="AA97">
        <f ca="1">IFERROR(IF(0=LEN(ReferenceData!$AA$97),"",ReferenceData!$AA$97),"")</f>
        <v>0</v>
      </c>
      <c r="AB97">
        <f ca="1">IFERROR(IF(0=LEN(ReferenceData!$AB$97),"",ReferenceData!$AB$97),"")</f>
        <v>0</v>
      </c>
      <c r="AC97">
        <f ca="1">IFERROR(IF(0=LEN(ReferenceData!$AC$97),"",ReferenceData!$AC$97),"")</f>
        <v>0</v>
      </c>
      <c r="AD97">
        <f ca="1">IFERROR(IF(0=LEN(ReferenceData!$AD$97),"",ReferenceData!$AD$97),"")</f>
        <v>0</v>
      </c>
      <c r="AE97">
        <f ca="1">IFERROR(IF(0=LEN(ReferenceData!$AE$97),"",ReferenceData!$AE$97),"")</f>
        <v>0</v>
      </c>
      <c r="AF97">
        <f ca="1">IFERROR(IF(0=LEN(ReferenceData!$AF$97),"",ReferenceData!$AF$97),"")</f>
        <v>0</v>
      </c>
      <c r="AG97">
        <f ca="1">IFERROR(IF(0=LEN(ReferenceData!$AG$97),"",ReferenceData!$AG$97),"")</f>
        <v>0</v>
      </c>
      <c r="AH97">
        <f ca="1">IFERROR(IF(0=LEN(ReferenceData!$AH$97),"",ReferenceData!$AH$97),"")</f>
        <v>0</v>
      </c>
      <c r="AI97">
        <f ca="1">IFERROR(IF(0=LEN(ReferenceData!$AI$97),"",ReferenceData!$AI$97),"")</f>
        <v>0</v>
      </c>
      <c r="AJ97">
        <f ca="1">IFERROR(IF(0=LEN(ReferenceData!$AJ$97),"",ReferenceData!$AJ$97),"")</f>
        <v>0</v>
      </c>
      <c r="AK97">
        <f ca="1">IFERROR(IF(0=LEN(ReferenceData!$AK$97),"",ReferenceData!$AK$97),"")</f>
        <v>0</v>
      </c>
      <c r="AL97">
        <f ca="1">IFERROR(IF(0=LEN(ReferenceData!$AL$97),"",ReferenceData!$AL$97),"")</f>
        <v>0</v>
      </c>
      <c r="AM97">
        <f ca="1">IFERROR(IF(0=LEN(ReferenceData!$AM$97),"",ReferenceData!$AM$97),"")</f>
        <v>0</v>
      </c>
      <c r="AN97">
        <f ca="1">IFERROR(IF(0=LEN(ReferenceData!$AN$97),"",ReferenceData!$AN$97),"")</f>
        <v>0</v>
      </c>
      <c r="AO97">
        <f ca="1">IFERROR(IF(0=LEN(ReferenceData!$AO$97),"",ReferenceData!$AO$97),"")</f>
        <v>0</v>
      </c>
      <c r="AP97">
        <f ca="1">IFERROR(IF(0=LEN(ReferenceData!$AP$97),"",ReferenceData!$AP$97),"")</f>
        <v>0</v>
      </c>
      <c r="AQ97">
        <f ca="1">IFERROR(IF(0=LEN(ReferenceData!$AQ$97),"",ReferenceData!$AQ$97),"")</f>
        <v>0</v>
      </c>
      <c r="AR97">
        <f ca="1">IFERROR(IF(0=LEN(ReferenceData!$AR$97),"",ReferenceData!$AR$97),"")</f>
        <v>0</v>
      </c>
      <c r="AS97">
        <f ca="1">IFERROR(IF(0=LEN(ReferenceData!$AS$97),"",ReferenceData!$AS$97),"")</f>
        <v>0</v>
      </c>
      <c r="AT97">
        <f ca="1">IFERROR(IF(0=LEN(ReferenceData!$AT$97),"",ReferenceData!$AT$97),"")</f>
        <v>0</v>
      </c>
      <c r="AU97">
        <f ca="1">IFERROR(IF(0=LEN(ReferenceData!$AU$97),"",ReferenceData!$AU$97),"")</f>
        <v>0</v>
      </c>
      <c r="AV97">
        <f ca="1">IFERROR(IF(0=LEN(ReferenceData!$AV$97),"",ReferenceData!$AV$97),"")</f>
        <v>0</v>
      </c>
      <c r="AW97">
        <f ca="1">IFERROR(IF(0=LEN(ReferenceData!$AW$97),"",ReferenceData!$AW$97),"")</f>
        <v>0</v>
      </c>
      <c r="AX97">
        <f ca="1">IFERROR(IF(0=LEN(ReferenceData!$AX$97),"",ReferenceData!$AX$97),"")</f>
        <v>0</v>
      </c>
      <c r="AY97">
        <f ca="1">IFERROR(IF(0=LEN(ReferenceData!$AY$97),"",ReferenceData!$AY$97),"")</f>
        <v>0</v>
      </c>
      <c r="AZ97">
        <f ca="1">IFERROR(IF(0=LEN(ReferenceData!$AZ$97),"",ReferenceData!$AZ$97),"")</f>
        <v>0</v>
      </c>
      <c r="BA97">
        <f ca="1">IFERROR(IF(0=LEN(ReferenceData!$BA$97),"",ReferenceData!$BA$97),"")</f>
        <v>0</v>
      </c>
      <c r="BB97">
        <f ca="1">IFERROR(IF(0=LEN(ReferenceData!$BB$97),"",ReferenceData!$BB$97),"")</f>
        <v>0</v>
      </c>
      <c r="BC97">
        <f ca="1">IFERROR(IF(0=LEN(ReferenceData!$BC$97),"",ReferenceData!$BC$97),"")</f>
        <v>0</v>
      </c>
      <c r="BD97">
        <f ca="1">IFERROR(IF(0=LEN(ReferenceData!$BD$97),"",ReferenceData!$BD$97),"")</f>
        <v>0</v>
      </c>
      <c r="BE97">
        <f ca="1">IFERROR(IF(0=LEN(ReferenceData!$BE$97),"",ReferenceData!$BE$97),"")</f>
        <v>0</v>
      </c>
      <c r="BF97">
        <f ca="1">IFERROR(IF(0=LEN(ReferenceData!$BF$97),"",ReferenceData!$BF$97),"")</f>
        <v>0</v>
      </c>
      <c r="BG97">
        <f ca="1">IFERROR(IF(0=LEN(ReferenceData!$BG$97),"",ReferenceData!$BG$97),"")</f>
        <v>0</v>
      </c>
      <c r="BH97">
        <f ca="1">IFERROR(IF(0=LEN(ReferenceData!$BH$97),"",ReferenceData!$BH$97),"")</f>
        <v>0</v>
      </c>
      <c r="BI97">
        <f ca="1">IFERROR(IF(0=LEN(ReferenceData!$BI$97),"",ReferenceData!$BI$97),"")</f>
        <v>0</v>
      </c>
      <c r="BJ97">
        <f ca="1">IFERROR(IF(0=LEN(ReferenceData!$BJ$97),"",ReferenceData!$BJ$97),"")</f>
        <v>0</v>
      </c>
      <c r="BK97">
        <f ca="1">IFERROR(IF(0=LEN(ReferenceData!$BK$97),"",ReferenceData!$BK$97),"")</f>
        <v>0</v>
      </c>
      <c r="BL97">
        <f ca="1">IFERROR(IF(0=LEN(ReferenceData!$BL$97),"",ReferenceData!$BL$97),"")</f>
        <v>0</v>
      </c>
      <c r="BM97" t="str">
        <f ca="1">IFERROR(IF(0=LEN(ReferenceData!$BM$97),"",ReferenceData!$BM$97),"")</f>
        <v/>
      </c>
    </row>
    <row r="98" spans="1:65" x14ac:dyDescent="0.25">
      <c r="A98" t="str">
        <f>IFERROR(IF(0=LEN(ReferenceData!$A$98),"",ReferenceData!$A$98),"")</f>
        <v xml:space="preserve">            Huntington Bancshares Inc/OH</v>
      </c>
      <c r="B98" t="str">
        <f>IFERROR(IF(0=LEN(ReferenceData!$B$98),"",ReferenceData!$B$98),"")</f>
        <v>HBAN US Equity</v>
      </c>
      <c r="C98" t="str">
        <f>IFERROR(IF(0=LEN(ReferenceData!$C$98),"",ReferenceData!$C$98),"")</f>
        <v>FR531</v>
      </c>
      <c r="D98" t="str">
        <f>IFERROR(IF(0=LEN(ReferenceData!$D$98),"",ReferenceData!$D$98),"")</f>
        <v>FED_INVT_IN_RE_VENTURES</v>
      </c>
      <c r="E98" t="str">
        <f>IFERROR(IF(0=LEN(ReferenceData!$E$98),"",ReferenceData!$E$98),"")</f>
        <v>Dynamic</v>
      </c>
      <c r="F98">
        <f ca="1">IFERROR(IF(0=LEN(ReferenceData!$F$98),"",ReferenceData!$F$98),"")</f>
        <v>2434.2820000000002</v>
      </c>
      <c r="G98">
        <f ca="1">IFERROR(IF(0=LEN(ReferenceData!$G$98),"",ReferenceData!$G$98),"")</f>
        <v>2329.2240000000002</v>
      </c>
      <c r="H98">
        <f ca="1">IFERROR(IF(0=LEN(ReferenceData!$H$98),"",ReferenceData!$H$98),"")</f>
        <v>2477.0619999999999</v>
      </c>
      <c r="I98">
        <f ca="1">IFERROR(IF(0=LEN(ReferenceData!$I$98),"",ReferenceData!$I$98),"")</f>
        <v>2409.9670000000001</v>
      </c>
      <c r="J98">
        <f ca="1">IFERROR(IF(0=LEN(ReferenceData!$J$98),"",ReferenceData!$J$98),"")</f>
        <v>2358.4070000000002</v>
      </c>
      <c r="K98">
        <f ca="1">IFERROR(IF(0=LEN(ReferenceData!$K$98),"",ReferenceData!$K$98),"")</f>
        <v>2287.5839999999998</v>
      </c>
      <c r="L98">
        <f ca="1">IFERROR(IF(0=LEN(ReferenceData!$L$98),"",ReferenceData!$L$98),"")</f>
        <v>2243.451</v>
      </c>
      <c r="M98">
        <f ca="1">IFERROR(IF(0=LEN(ReferenceData!$M$98),"",ReferenceData!$M$98),"")</f>
        <v>2198.7550000000001</v>
      </c>
      <c r="N98">
        <f ca="1">IFERROR(IF(0=LEN(ReferenceData!$N$98),"",ReferenceData!$N$98),"")</f>
        <v>2157.08</v>
      </c>
      <c r="O98">
        <f ca="1">IFERROR(IF(0=LEN(ReferenceData!$O$98),"",ReferenceData!$O$98),"")</f>
        <v>1965.461</v>
      </c>
      <c r="P98">
        <f ca="1">IFERROR(IF(0=LEN(ReferenceData!$P$98),"",ReferenceData!$P$98),"")</f>
        <v>1787.143</v>
      </c>
      <c r="Q98">
        <f ca="1">IFERROR(IF(0=LEN(ReferenceData!$Q$98),"",ReferenceData!$Q$98),"")</f>
        <v>1739.5619999999999</v>
      </c>
      <c r="R98">
        <f ca="1">IFERROR(IF(0=LEN(ReferenceData!$R$98),"",ReferenceData!$R$98),"")</f>
        <v>1722.32</v>
      </c>
      <c r="S98">
        <f ca="1">IFERROR(IF(0=LEN(ReferenceData!$S$98),"",ReferenceData!$S$98),"")</f>
        <v>1504.9090000000001</v>
      </c>
      <c r="T98">
        <f ca="1">IFERROR(IF(0=LEN(ReferenceData!$T$98),"",ReferenceData!$T$98),"")</f>
        <v>1355.2629999999999</v>
      </c>
      <c r="U98">
        <f ca="1">IFERROR(IF(0=LEN(ReferenceData!$U$98),"",ReferenceData!$U$98),"")</f>
        <v>987.31399999999996</v>
      </c>
      <c r="V98">
        <f ca="1">IFERROR(IF(0=LEN(ReferenceData!$V$98),"",ReferenceData!$V$98),"")</f>
        <v>999.505</v>
      </c>
      <c r="W98">
        <f ca="1">IFERROR(IF(0=LEN(ReferenceData!$W$98),"",ReferenceData!$W$98),"")</f>
        <v>917.14</v>
      </c>
      <c r="X98">
        <f ca="1">IFERROR(IF(0=LEN(ReferenceData!$X$98),"",ReferenceData!$X$98),"")</f>
        <v>912.32600000000002</v>
      </c>
      <c r="Y98">
        <f ca="1">IFERROR(IF(0=LEN(ReferenceData!$Y$98),"",ReferenceData!$Y$98),"")</f>
        <v>858.73900000000003</v>
      </c>
      <c r="Z98">
        <f ca="1">IFERROR(IF(0=LEN(ReferenceData!$Z$98),"",ReferenceData!$Z$98),"")</f>
        <v>791.88599999999997</v>
      </c>
      <c r="AA98">
        <f ca="1">IFERROR(IF(0=LEN(ReferenceData!$AA$98),"",ReferenceData!$AA$98),"")</f>
        <v>789.92399999999998</v>
      </c>
      <c r="AB98">
        <f ca="1">IFERROR(IF(0=LEN(ReferenceData!$AB$98),"",ReferenceData!$AB$98),"")</f>
        <v>810.625</v>
      </c>
      <c r="AC98">
        <f ca="1">IFERROR(IF(0=LEN(ReferenceData!$AC$98),"",ReferenceData!$AC$98),"")</f>
        <v>762.45600000000002</v>
      </c>
      <c r="AD98">
        <f ca="1">IFERROR(IF(0=LEN(ReferenceData!$AD$98),"",ReferenceData!$AD$98),"")</f>
        <v>786.26800000000003</v>
      </c>
      <c r="AE98">
        <f ca="1">IFERROR(IF(0=LEN(ReferenceData!$AE$98),"",ReferenceData!$AE$98),"")</f>
        <v>774.28</v>
      </c>
      <c r="AF98">
        <f ca="1">IFERROR(IF(0=LEN(ReferenceData!$AF$98),"",ReferenceData!$AF$98),"")</f>
        <v>708.18899999999996</v>
      </c>
      <c r="AG98">
        <f ca="1">IFERROR(IF(0=LEN(ReferenceData!$AG$98),"",ReferenceData!$AG$98),"")</f>
        <v>710.38</v>
      </c>
      <c r="AH98">
        <f ca="1">IFERROR(IF(0=LEN(ReferenceData!$AH$98),"",ReferenceData!$AH$98),"")</f>
        <v>711.84100000000001</v>
      </c>
      <c r="AI98">
        <f ca="1">IFERROR(IF(0=LEN(ReferenceData!$AI$98),"",ReferenceData!$AI$98),"")</f>
        <v>715.69</v>
      </c>
      <c r="AJ98">
        <f ca="1">IFERROR(IF(0=LEN(ReferenceData!$AJ$98),"",ReferenceData!$AJ$98),"")</f>
        <v>692.98400000000004</v>
      </c>
      <c r="AK98">
        <f ca="1">IFERROR(IF(0=LEN(ReferenceData!$AK$98),"",ReferenceData!$AK$98),"")</f>
        <v>633.92100000000005</v>
      </c>
      <c r="AL98">
        <f ca="1">IFERROR(IF(0=LEN(ReferenceData!$AL$98),"",ReferenceData!$AL$98),"")</f>
        <v>651.976</v>
      </c>
      <c r="AM98">
        <f ca="1">IFERROR(IF(0=LEN(ReferenceData!$AM$98),"",ReferenceData!$AM$98),"")</f>
        <v>652.74099999999999</v>
      </c>
      <c r="AN98">
        <f ca="1">IFERROR(IF(0=LEN(ReferenceData!$AN$98),"",ReferenceData!$AN$98),"")</f>
        <v>538.43299999999999</v>
      </c>
      <c r="AO98">
        <f ca="1">IFERROR(IF(0=LEN(ReferenceData!$AO$98),"",ReferenceData!$AO$98),"")</f>
        <v>500.19299999999998</v>
      </c>
      <c r="AP98">
        <f ca="1">IFERROR(IF(0=LEN(ReferenceData!$AP$98),"",ReferenceData!$AP$98),"")</f>
        <v>515.91300000000001</v>
      </c>
      <c r="AQ98">
        <f ca="1">IFERROR(IF(0=LEN(ReferenceData!$AQ$98),"",ReferenceData!$AQ$98),"")</f>
        <v>465.00700000000001</v>
      </c>
      <c r="AR98">
        <f ca="1">IFERROR(IF(0=LEN(ReferenceData!$AR$98),"",ReferenceData!$AR$98),"")</f>
        <v>450.34100000000001</v>
      </c>
      <c r="AS98">
        <f ca="1">IFERROR(IF(0=LEN(ReferenceData!$AS$98),"",ReferenceData!$AS$98),"")</f>
        <v>412.30500000000001</v>
      </c>
      <c r="AT98">
        <f ca="1">IFERROR(IF(0=LEN(ReferenceData!$AT$98),"",ReferenceData!$AT$98),"")</f>
        <v>421.50900000000001</v>
      </c>
      <c r="AU98">
        <f ca="1">IFERROR(IF(0=LEN(ReferenceData!$AU$98),"",ReferenceData!$AU$98),"")</f>
        <v>393.70600000000002</v>
      </c>
      <c r="AV98">
        <f ca="1">IFERROR(IF(0=LEN(ReferenceData!$AV$98),"",ReferenceData!$AV$98),"")</f>
        <v>378.10199999999998</v>
      </c>
      <c r="AW98">
        <f ca="1">IFERROR(IF(0=LEN(ReferenceData!$AW$98),"",ReferenceData!$AW$98),"")</f>
        <v>355.149</v>
      </c>
      <c r="AX98">
        <f ca="1">IFERROR(IF(0=LEN(ReferenceData!$AX$98),"",ReferenceData!$AX$98),"")</f>
        <v>379.72</v>
      </c>
      <c r="AY98">
        <f ca="1">IFERROR(IF(0=LEN(ReferenceData!$AY$98),"",ReferenceData!$AY$98),"")</f>
        <v>357.536</v>
      </c>
      <c r="AZ98">
        <f ca="1">IFERROR(IF(0=LEN(ReferenceData!$AZ$98),"",ReferenceData!$AZ$98),"")</f>
        <v>339.75400000000002</v>
      </c>
      <c r="BA98">
        <f ca="1">IFERROR(IF(0=LEN(ReferenceData!$BA$98),"",ReferenceData!$BA$98),"")</f>
        <v>322.86700000000002</v>
      </c>
      <c r="BB98">
        <f ca="1">IFERROR(IF(0=LEN(ReferenceData!$BB$98),"",ReferenceData!$BB$98),"")</f>
        <v>386.62299999999999</v>
      </c>
      <c r="BC98">
        <f ca="1">IFERROR(IF(0=LEN(ReferenceData!$BC$98),"",ReferenceData!$BC$98),"")</f>
        <v>391.56299999999999</v>
      </c>
      <c r="BD98">
        <f ca="1">IFERROR(IF(0=LEN(ReferenceData!$BD$98),"",ReferenceData!$BD$98),"")</f>
        <v>378.21100000000001</v>
      </c>
      <c r="BE98">
        <f ca="1">IFERROR(IF(0=LEN(ReferenceData!$BE$98),"",ReferenceData!$BE$98),"")</f>
        <v>400.06099999999998</v>
      </c>
      <c r="BF98">
        <f ca="1">IFERROR(IF(0=LEN(ReferenceData!$BF$98),"",ReferenceData!$BF$98),"")</f>
        <v>399.77600000000001</v>
      </c>
      <c r="BG98">
        <f ca="1">IFERROR(IF(0=LEN(ReferenceData!$BG$98),"",ReferenceData!$BG$98),"")</f>
        <v>369.685</v>
      </c>
      <c r="BH98">
        <f ca="1">IFERROR(IF(0=LEN(ReferenceData!$BH$98),"",ReferenceData!$BH$98),"")</f>
        <v>350.53800000000001</v>
      </c>
      <c r="BI98">
        <f ca="1">IFERROR(IF(0=LEN(ReferenceData!$BI$98),"",ReferenceData!$BI$98),"")</f>
        <v>337.08100000000002</v>
      </c>
      <c r="BJ98">
        <f ca="1">IFERROR(IF(0=LEN(ReferenceData!$BJ$98),"",ReferenceData!$BJ$98),"")</f>
        <v>340.048</v>
      </c>
      <c r="BK98">
        <f ca="1">IFERROR(IF(0=LEN(ReferenceData!$BK$98),"",ReferenceData!$BK$98),"")</f>
        <v>293.041</v>
      </c>
      <c r="BL98">
        <f ca="1">IFERROR(IF(0=LEN(ReferenceData!$BL$98),"",ReferenceData!$BL$98),"")</f>
        <v>255.74600000000001</v>
      </c>
      <c r="BM98" t="str">
        <f ca="1">IFERROR(IF(0=LEN(ReferenceData!$BM$98),"",ReferenceData!$BM$98),"")</f>
        <v/>
      </c>
    </row>
    <row r="99" spans="1:65" x14ac:dyDescent="0.25">
      <c r="A99" t="str">
        <f>IFERROR(IF(0=LEN(ReferenceData!$A$99),"",ReferenceData!$A$99),"")</f>
        <v xml:space="preserve">            JPMorgan Chase &amp; Co</v>
      </c>
      <c r="B99" t="str">
        <f>IFERROR(IF(0=LEN(ReferenceData!$B$99),"",ReferenceData!$B$99),"")</f>
        <v>JPM US Equity</v>
      </c>
      <c r="C99" t="str">
        <f>IFERROR(IF(0=LEN(ReferenceData!$C$99),"",ReferenceData!$C$99),"")</f>
        <v>FR531</v>
      </c>
      <c r="D99" t="str">
        <f>IFERROR(IF(0=LEN(ReferenceData!$D$99),"",ReferenceData!$D$99),"")</f>
        <v>FED_INVT_IN_RE_VENTURES</v>
      </c>
      <c r="E99" t="str">
        <f>IFERROR(IF(0=LEN(ReferenceData!$E$99),"",ReferenceData!$E$99),"")</f>
        <v>Dynamic</v>
      </c>
      <c r="F99">
        <f ca="1">IFERROR(IF(0=LEN(ReferenceData!$F$99),"",ReferenceData!$F$99),"")</f>
        <v>18465</v>
      </c>
      <c r="G99">
        <f ca="1">IFERROR(IF(0=LEN(ReferenceData!$G$99),"",ReferenceData!$G$99),"")</f>
        <v>17877</v>
      </c>
      <c r="H99">
        <f ca="1">IFERROR(IF(0=LEN(ReferenceData!$H$99),"",ReferenceData!$H$99),"")</f>
        <v>17024</v>
      </c>
      <c r="I99">
        <f ca="1">IFERROR(IF(0=LEN(ReferenceData!$I$99),"",ReferenceData!$I$99),"")</f>
        <v>17000</v>
      </c>
      <c r="J99">
        <f ca="1">IFERROR(IF(0=LEN(ReferenceData!$J$99),"",ReferenceData!$J$99),"")</f>
        <v>17707</v>
      </c>
      <c r="K99">
        <f ca="1">IFERROR(IF(0=LEN(ReferenceData!$K$99),"",ReferenceData!$K$99),"")</f>
        <v>16685</v>
      </c>
      <c r="L99">
        <f ca="1">IFERROR(IF(0=LEN(ReferenceData!$L$99),"",ReferenceData!$L$99),"")</f>
        <v>16463</v>
      </c>
      <c r="M99">
        <f ca="1">IFERROR(IF(0=LEN(ReferenceData!$M$99),"",ReferenceData!$M$99),"")</f>
        <v>14584</v>
      </c>
      <c r="N99">
        <f ca="1">IFERROR(IF(0=LEN(ReferenceData!$N$99),"",ReferenceData!$N$99),"")</f>
        <v>14583</v>
      </c>
      <c r="O99">
        <f ca="1">IFERROR(IF(0=LEN(ReferenceData!$O$99),"",ReferenceData!$O$99),"")</f>
        <v>14039</v>
      </c>
      <c r="P99">
        <f ca="1">IFERROR(IF(0=LEN(ReferenceData!$P$99),"",ReferenceData!$P$99),"")</f>
        <v>13660</v>
      </c>
      <c r="Q99">
        <f ca="1">IFERROR(IF(0=LEN(ReferenceData!$Q$99),"",ReferenceData!$Q$99),"")</f>
        <v>13438</v>
      </c>
      <c r="R99">
        <f ca="1">IFERROR(IF(0=LEN(ReferenceData!$R$99),"",ReferenceData!$R$99),"")</f>
        <v>13220</v>
      </c>
      <c r="S99">
        <f ca="1">IFERROR(IF(0=LEN(ReferenceData!$S$99),"",ReferenceData!$S$99),"")</f>
        <v>12001</v>
      </c>
      <c r="T99">
        <f ca="1">IFERROR(IF(0=LEN(ReferenceData!$T$99),"",ReferenceData!$T$99),"")</f>
        <v>11416</v>
      </c>
      <c r="U99">
        <f ca="1">IFERROR(IF(0=LEN(ReferenceData!$U$99),"",ReferenceData!$U$99),"")</f>
        <v>11435</v>
      </c>
      <c r="V99">
        <f ca="1">IFERROR(IF(0=LEN(ReferenceData!$V$99),"",ReferenceData!$V$99),"")</f>
        <v>11844</v>
      </c>
      <c r="W99">
        <f ca="1">IFERROR(IF(0=LEN(ReferenceData!$W$99),"",ReferenceData!$W$99),"")</f>
        <v>10882</v>
      </c>
      <c r="X99">
        <f ca="1">IFERROR(IF(0=LEN(ReferenceData!$X$99),"",ReferenceData!$X$99),"")</f>
        <v>11074</v>
      </c>
      <c r="Y99">
        <f ca="1">IFERROR(IF(0=LEN(ReferenceData!$Y$99),"",ReferenceData!$Y$99),"")</f>
        <v>10891</v>
      </c>
      <c r="Z99">
        <f ca="1">IFERROR(IF(0=LEN(ReferenceData!$Z$99),"",ReferenceData!$Z$99),"")</f>
        <v>10607</v>
      </c>
      <c r="AA99">
        <f ca="1">IFERROR(IF(0=LEN(ReferenceData!$AA$99),"",ReferenceData!$AA$99),"")</f>
        <v>10283</v>
      </c>
      <c r="AB99">
        <f ca="1">IFERROR(IF(0=LEN(ReferenceData!$AB$99),"",ReferenceData!$AB$99),"")</f>
        <v>9860</v>
      </c>
      <c r="AC99">
        <f ca="1">IFERROR(IF(0=LEN(ReferenceData!$AC$99),"",ReferenceData!$AC$99),"")</f>
        <v>9145</v>
      </c>
      <c r="AD99">
        <f ca="1">IFERROR(IF(0=LEN(ReferenceData!$AD$99),"",ReferenceData!$AD$99),"")</f>
        <v>9067</v>
      </c>
      <c r="AE99">
        <f ca="1">IFERROR(IF(0=LEN(ReferenceData!$AE$99),"",ReferenceData!$AE$99),"")</f>
        <v>8780</v>
      </c>
      <c r="AF99">
        <f ca="1">IFERROR(IF(0=LEN(ReferenceData!$AF$99),"",ReferenceData!$AF$99),"")</f>
        <v>8682</v>
      </c>
      <c r="AG99">
        <f ca="1">IFERROR(IF(0=LEN(ReferenceData!$AG$99),"",ReferenceData!$AG$99),"")</f>
        <v>8844</v>
      </c>
      <c r="AH99">
        <f ca="1">IFERROR(IF(0=LEN(ReferenceData!$AH$99),"",ReferenceData!$AH$99),"")</f>
        <v>8344</v>
      </c>
      <c r="AI99">
        <f ca="1">IFERROR(IF(0=LEN(ReferenceData!$AI$99),"",ReferenceData!$AI$99),"")</f>
        <v>8881</v>
      </c>
      <c r="AJ99">
        <f ca="1">IFERROR(IF(0=LEN(ReferenceData!$AJ$99),"",ReferenceData!$AJ$99),"")</f>
        <v>9038</v>
      </c>
      <c r="AK99">
        <f ca="1">IFERROR(IF(0=LEN(ReferenceData!$AK$99),"",ReferenceData!$AK$99),"")</f>
        <v>9401</v>
      </c>
      <c r="AL99">
        <f ca="1">IFERROR(IF(0=LEN(ReferenceData!$AL$99),"",ReferenceData!$AL$99),"")</f>
        <v>9508</v>
      </c>
      <c r="AM99">
        <f ca="1">IFERROR(IF(0=LEN(ReferenceData!$AM$99),"",ReferenceData!$AM$99),"")</f>
        <v>8958</v>
      </c>
      <c r="AN99">
        <f ca="1">IFERROR(IF(0=LEN(ReferenceData!$AN$99),"",ReferenceData!$AN$99),"")</f>
        <v>8819</v>
      </c>
      <c r="AO99">
        <f ca="1">IFERROR(IF(0=LEN(ReferenceData!$AO$99),"",ReferenceData!$AO$99),"")</f>
        <v>8490</v>
      </c>
      <c r="AP99">
        <f ca="1">IFERROR(IF(0=LEN(ReferenceData!$AP$99),"",ReferenceData!$AP$99),"")</f>
        <v>8510</v>
      </c>
      <c r="AQ99">
        <f ca="1">IFERROR(IF(0=LEN(ReferenceData!$AQ$99),"",ReferenceData!$AQ$99),"")</f>
        <v>8270</v>
      </c>
      <c r="AR99">
        <f ca="1">IFERROR(IF(0=LEN(ReferenceData!$AR$99),"",ReferenceData!$AR$99),"")</f>
        <v>8096</v>
      </c>
      <c r="AS99">
        <f ca="1">IFERROR(IF(0=LEN(ReferenceData!$AS$99),"",ReferenceData!$AS$99),"")</f>
        <v>7870</v>
      </c>
      <c r="AT99">
        <f ca="1">IFERROR(IF(0=LEN(ReferenceData!$AT$99),"",ReferenceData!$AT$99),"")</f>
        <v>8056</v>
      </c>
      <c r="AU99">
        <f ca="1">IFERROR(IF(0=LEN(ReferenceData!$AU$99),"",ReferenceData!$AU$99),"")</f>
        <v>7848</v>
      </c>
      <c r="AV99">
        <f ca="1">IFERROR(IF(0=LEN(ReferenceData!$AV$99),"",ReferenceData!$AV$99),"")</f>
        <v>7881</v>
      </c>
      <c r="AW99">
        <f ca="1">IFERROR(IF(0=LEN(ReferenceData!$AW$99),"",ReferenceData!$AW$99),"")</f>
        <v>6836</v>
      </c>
      <c r="AX99">
        <f ca="1">IFERROR(IF(0=LEN(ReferenceData!$AX$99),"",ReferenceData!$AX$99),"")</f>
        <v>6815</v>
      </c>
      <c r="AY99">
        <f ca="1">IFERROR(IF(0=LEN(ReferenceData!$AY$99),"",ReferenceData!$AY$99),"")</f>
        <v>6680</v>
      </c>
      <c r="AZ99">
        <f ca="1">IFERROR(IF(0=LEN(ReferenceData!$AZ$99),"",ReferenceData!$AZ$99),"")</f>
        <v>1198</v>
      </c>
      <c r="BA99">
        <f ca="1">IFERROR(IF(0=LEN(ReferenceData!$BA$99),"",ReferenceData!$BA$99),"")</f>
        <v>1277</v>
      </c>
      <c r="BB99">
        <f ca="1">IFERROR(IF(0=LEN(ReferenceData!$BB$99),"",ReferenceData!$BB$99),"")</f>
        <v>1356</v>
      </c>
      <c r="BC99">
        <f ca="1">IFERROR(IF(0=LEN(ReferenceData!$BC$99),"",ReferenceData!$BC$99),"")</f>
        <v>1443</v>
      </c>
      <c r="BD99">
        <f ca="1">IFERROR(IF(0=LEN(ReferenceData!$BD$99),"",ReferenceData!$BD$99),"")</f>
        <v>1526</v>
      </c>
      <c r="BE99">
        <f ca="1">IFERROR(IF(0=LEN(ReferenceData!$BE$99),"",ReferenceData!$BE$99),"")</f>
        <v>1608</v>
      </c>
      <c r="BF99">
        <f ca="1">IFERROR(IF(0=LEN(ReferenceData!$BF$99),"",ReferenceData!$BF$99),"")</f>
        <v>1686</v>
      </c>
      <c r="BG99">
        <f ca="1">IFERROR(IF(0=LEN(ReferenceData!$BG$99),"",ReferenceData!$BG$99),"")</f>
        <v>1778</v>
      </c>
      <c r="BH99">
        <f ca="1">IFERROR(IF(0=LEN(ReferenceData!$BH$99),"",ReferenceData!$BH$99),"")</f>
        <v>1861</v>
      </c>
      <c r="BI99">
        <f ca="1">IFERROR(IF(0=LEN(ReferenceData!$BI$99),"",ReferenceData!$BI$99),"")</f>
        <v>1943</v>
      </c>
      <c r="BJ99">
        <f ca="1">IFERROR(IF(0=LEN(ReferenceData!$BJ$99),"",ReferenceData!$BJ$99),"")</f>
        <v>2022</v>
      </c>
      <c r="BK99">
        <f ca="1">IFERROR(IF(0=LEN(ReferenceData!$BK$99),"",ReferenceData!$BK$99),"")</f>
        <v>2084</v>
      </c>
      <c r="BL99">
        <f ca="1">IFERROR(IF(0=LEN(ReferenceData!$BL$99),"",ReferenceData!$BL$99),"")</f>
        <v>2168</v>
      </c>
      <c r="BM99" t="str">
        <f ca="1">IFERROR(IF(0=LEN(ReferenceData!$BM$99),"",ReferenceData!$BM$99),"")</f>
        <v/>
      </c>
    </row>
    <row r="100" spans="1:65" x14ac:dyDescent="0.25">
      <c r="A100" t="str">
        <f>IFERROR(IF(0=LEN(ReferenceData!$A$100),"",ReferenceData!$A$100),"")</f>
        <v xml:space="preserve">            KeyCorp</v>
      </c>
      <c r="B100" t="str">
        <f>IFERROR(IF(0=LEN(ReferenceData!$B$100),"",ReferenceData!$B$100),"")</f>
        <v>KEY US Equity</v>
      </c>
      <c r="C100" t="str">
        <f>IFERROR(IF(0=LEN(ReferenceData!$C$100),"",ReferenceData!$C$100),"")</f>
        <v>FR531</v>
      </c>
      <c r="D100" t="str">
        <f>IFERROR(IF(0=LEN(ReferenceData!$D$100),"",ReferenceData!$D$100),"")</f>
        <v>FED_INVT_IN_RE_VENTURES</v>
      </c>
      <c r="E100" t="str">
        <f>IFERROR(IF(0=LEN(ReferenceData!$E$100),"",ReferenceData!$E$100),"")</f>
        <v>Dynamic</v>
      </c>
      <c r="F100">
        <f ca="1">IFERROR(IF(0=LEN(ReferenceData!$F$100),"",ReferenceData!$F$100),"")</f>
        <v>2566.3420000000001</v>
      </c>
      <c r="G100">
        <f ca="1">IFERROR(IF(0=LEN(ReferenceData!$G$100),"",ReferenceData!$G$100),"")</f>
        <v>2216.7190000000001</v>
      </c>
      <c r="H100">
        <f ca="1">IFERROR(IF(0=LEN(ReferenceData!$H$100),"",ReferenceData!$H$100),"")</f>
        <v>2186.6080000000002</v>
      </c>
      <c r="I100">
        <f ca="1">IFERROR(IF(0=LEN(ReferenceData!$I$100),"",ReferenceData!$I$100),"")</f>
        <v>2188.1460000000002</v>
      </c>
      <c r="J100">
        <f ca="1">IFERROR(IF(0=LEN(ReferenceData!$J$100),"",ReferenceData!$J$100),"")</f>
        <v>2341.8180000000002</v>
      </c>
      <c r="K100">
        <f ca="1">IFERROR(IF(0=LEN(ReferenceData!$K$100),"",ReferenceData!$K$100),"")</f>
        <v>2118.326</v>
      </c>
      <c r="L100">
        <f ca="1">IFERROR(IF(0=LEN(ReferenceData!$L$100),"",ReferenceData!$L$100),"")</f>
        <v>2195.473</v>
      </c>
      <c r="M100">
        <f ca="1">IFERROR(IF(0=LEN(ReferenceData!$M$100),"",ReferenceData!$M$100),"")</f>
        <v>2080.6840000000002</v>
      </c>
      <c r="N100">
        <f ca="1">IFERROR(IF(0=LEN(ReferenceData!$N$100),"",ReferenceData!$N$100),"")</f>
        <v>1879.972</v>
      </c>
      <c r="O100">
        <f ca="1">IFERROR(IF(0=LEN(ReferenceData!$O$100),"",ReferenceData!$O$100),"")</f>
        <v>1799.7470000000001</v>
      </c>
      <c r="P100">
        <f ca="1">IFERROR(IF(0=LEN(ReferenceData!$P$100),"",ReferenceData!$P$100),"")</f>
        <v>1634.105</v>
      </c>
      <c r="Q100">
        <f ca="1">IFERROR(IF(0=LEN(ReferenceData!$Q$100),"",ReferenceData!$Q$100),"")</f>
        <v>1596.8489999999999</v>
      </c>
      <c r="R100">
        <f ca="1">IFERROR(IF(0=LEN(ReferenceData!$R$100),"",ReferenceData!$R$100),"")</f>
        <v>1591.423</v>
      </c>
      <c r="S100">
        <f ca="1">IFERROR(IF(0=LEN(ReferenceData!$S$100),"",ReferenceData!$S$100),"")</f>
        <v>1473.0609999999999</v>
      </c>
      <c r="T100">
        <f ca="1">IFERROR(IF(0=LEN(ReferenceData!$T$100),"",ReferenceData!$T$100),"")</f>
        <v>1483.528</v>
      </c>
      <c r="U100">
        <f ca="1">IFERROR(IF(0=LEN(ReferenceData!$U$100),"",ReferenceData!$U$100),"")</f>
        <v>1418.5820000000001</v>
      </c>
      <c r="V100">
        <f ca="1">IFERROR(IF(0=LEN(ReferenceData!$V$100),"",ReferenceData!$V$100),"")</f>
        <v>1441.89</v>
      </c>
      <c r="W100">
        <f ca="1">IFERROR(IF(0=LEN(ReferenceData!$W$100),"",ReferenceData!$W$100),"")</f>
        <v>1425.3420000000001</v>
      </c>
      <c r="X100">
        <f ca="1">IFERROR(IF(0=LEN(ReferenceData!$X$100),"",ReferenceData!$X$100),"")</f>
        <v>1381.9259999999999</v>
      </c>
      <c r="Y100">
        <f ca="1">IFERROR(IF(0=LEN(ReferenceData!$Y$100),"",ReferenceData!$Y$100),"")</f>
        <v>1458.105</v>
      </c>
      <c r="Z100">
        <f ca="1">IFERROR(IF(0=LEN(ReferenceData!$Z$100),"",ReferenceData!$Z$100),"")</f>
        <v>1508.453</v>
      </c>
      <c r="AA100">
        <f ca="1">IFERROR(IF(0=LEN(ReferenceData!$AA$100),"",ReferenceData!$AA$100),"")</f>
        <v>1461.5329999999999</v>
      </c>
      <c r="AB100">
        <f ca="1">IFERROR(IF(0=LEN(ReferenceData!$AB$100),"",ReferenceData!$AB$100),"")</f>
        <v>1466.7929999999999</v>
      </c>
      <c r="AC100">
        <f ca="1">IFERROR(IF(0=LEN(ReferenceData!$AC$100),"",ReferenceData!$AC$100),"")</f>
        <v>1465.47</v>
      </c>
      <c r="AD100">
        <f ca="1">IFERROR(IF(0=LEN(ReferenceData!$AD$100),"",ReferenceData!$AD$100),"")</f>
        <v>1482.1130000000001</v>
      </c>
      <c r="AE100">
        <f ca="1">IFERROR(IF(0=LEN(ReferenceData!$AE$100),"",ReferenceData!$AE$100),"")</f>
        <v>1332.0740000000001</v>
      </c>
      <c r="AF100">
        <f ca="1">IFERROR(IF(0=LEN(ReferenceData!$AF$100),"",ReferenceData!$AF$100),"")</f>
        <v>1338.614</v>
      </c>
      <c r="AG100">
        <f ca="1">IFERROR(IF(0=LEN(ReferenceData!$AG$100),"",ReferenceData!$AG$100),"")</f>
        <v>1342.0809999999999</v>
      </c>
      <c r="AH100">
        <f ca="1">IFERROR(IF(0=LEN(ReferenceData!$AH$100),"",ReferenceData!$AH$100),"")</f>
        <v>1334.653</v>
      </c>
      <c r="AI100">
        <f ca="1">IFERROR(IF(0=LEN(ReferenceData!$AI$100),"",ReferenceData!$AI$100),"")</f>
        <v>1298.6300000000001</v>
      </c>
      <c r="AJ100">
        <f ca="1">IFERROR(IF(0=LEN(ReferenceData!$AJ$100),"",ReferenceData!$AJ$100),"")</f>
        <v>1296.002</v>
      </c>
      <c r="AK100">
        <f ca="1">IFERROR(IF(0=LEN(ReferenceData!$AK$100),"",ReferenceData!$AK$100),"")</f>
        <v>1274.7560000000001</v>
      </c>
      <c r="AL100">
        <f ca="1">IFERROR(IF(0=LEN(ReferenceData!$AL$100),"",ReferenceData!$AL$100),"")</f>
        <v>1288.931</v>
      </c>
      <c r="AM100">
        <f ca="1">IFERROR(IF(0=LEN(ReferenceData!$AM$100),"",ReferenceData!$AM$100),"")</f>
        <v>1277.3969999999999</v>
      </c>
      <c r="AN100">
        <f ca="1">IFERROR(IF(0=LEN(ReferenceData!$AN$100),"",ReferenceData!$AN$100),"")</f>
        <v>1080.9359999999999</v>
      </c>
      <c r="AO100">
        <f ca="1">IFERROR(IF(0=LEN(ReferenceData!$AO$100),"",ReferenceData!$AO$100),"")</f>
        <v>1144.818</v>
      </c>
      <c r="AP100">
        <f ca="1">IFERROR(IF(0=LEN(ReferenceData!$AP$100),"",ReferenceData!$AP$100),"")</f>
        <v>1185.797</v>
      </c>
      <c r="AQ100">
        <f ca="1">IFERROR(IF(0=LEN(ReferenceData!$AQ$100),"",ReferenceData!$AQ$100),"")</f>
        <v>1139.22</v>
      </c>
      <c r="AR100">
        <f ca="1">IFERROR(IF(0=LEN(ReferenceData!$AR$100),"",ReferenceData!$AR$100),"")</f>
        <v>1119.212</v>
      </c>
      <c r="AS100">
        <f ca="1">IFERROR(IF(0=LEN(ReferenceData!$AS$100),"",ReferenceData!$AS$100),"")</f>
        <v>1057.8869999999999</v>
      </c>
      <c r="AT100">
        <f ca="1">IFERROR(IF(0=LEN(ReferenceData!$AT$100),"",ReferenceData!$AT$100),"")</f>
        <v>1075.903</v>
      </c>
      <c r="AU100">
        <f ca="1">IFERROR(IF(0=LEN(ReferenceData!$AU$100),"",ReferenceData!$AU$100),"")</f>
        <v>1042.9179999999999</v>
      </c>
      <c r="AV100">
        <f ca="1">IFERROR(IF(0=LEN(ReferenceData!$AV$100),"",ReferenceData!$AV$100),"")</f>
        <v>1011.6</v>
      </c>
      <c r="AW100">
        <f ca="1">IFERROR(IF(0=LEN(ReferenceData!$AW$100),"",ReferenceData!$AW$100),"")</f>
        <v>986.63099999999997</v>
      </c>
      <c r="AX100">
        <f ca="1">IFERROR(IF(0=LEN(ReferenceData!$AX$100),"",ReferenceData!$AX$100),"")</f>
        <v>996.54499999999996</v>
      </c>
      <c r="AY100">
        <f ca="1">IFERROR(IF(0=LEN(ReferenceData!$AY$100),"",ReferenceData!$AY$100),"")</f>
        <v>945.61599999999999</v>
      </c>
      <c r="AZ100">
        <f ca="1">IFERROR(IF(0=LEN(ReferenceData!$AZ$100),"",ReferenceData!$AZ$100),"")</f>
        <v>949.46</v>
      </c>
      <c r="BA100">
        <f ca="1">IFERROR(IF(0=LEN(ReferenceData!$BA$100),"",ReferenceData!$BA$100),"")</f>
        <v>957.73099999999999</v>
      </c>
      <c r="BB100">
        <f ca="1">IFERROR(IF(0=LEN(ReferenceData!$BB$100),"",ReferenceData!$BB$100),"")</f>
        <v>959.63300000000004</v>
      </c>
      <c r="BC100">
        <f ca="1">IFERROR(IF(0=LEN(ReferenceData!$BC$100),"",ReferenceData!$BC$100),"")</f>
        <v>930.84</v>
      </c>
      <c r="BD100">
        <f ca="1">IFERROR(IF(0=LEN(ReferenceData!$BD$100),"",ReferenceData!$BD$100),"")</f>
        <v>943.976</v>
      </c>
      <c r="BE100">
        <f ca="1">IFERROR(IF(0=LEN(ReferenceData!$BE$100),"",ReferenceData!$BE$100),"")</f>
        <v>951.89300000000003</v>
      </c>
      <c r="BF100">
        <f ca="1">IFERROR(IF(0=LEN(ReferenceData!$BF$100),"",ReferenceData!$BF$100),"")</f>
        <v>966.65899999999999</v>
      </c>
      <c r="BG100">
        <f ca="1">IFERROR(IF(0=LEN(ReferenceData!$BG$100),"",ReferenceData!$BG$100),"")</f>
        <v>943.95299999999997</v>
      </c>
      <c r="BH100">
        <f ca="1">IFERROR(IF(0=LEN(ReferenceData!$BH$100),"",ReferenceData!$BH$100),"")</f>
        <v>964.54600000000005</v>
      </c>
      <c r="BI100">
        <f ca="1">IFERROR(IF(0=LEN(ReferenceData!$BI$100),"",ReferenceData!$BI$100),"")</f>
        <v>922.476</v>
      </c>
      <c r="BJ100">
        <f ca="1">IFERROR(IF(0=LEN(ReferenceData!$BJ$100),"",ReferenceData!$BJ$100),"")</f>
        <v>922.64400000000001</v>
      </c>
      <c r="BK100">
        <f ca="1">IFERROR(IF(0=LEN(ReferenceData!$BK$100),"",ReferenceData!$BK$100),"")</f>
        <v>953.25800000000004</v>
      </c>
      <c r="BL100">
        <f ca="1">IFERROR(IF(0=LEN(ReferenceData!$BL$100),"",ReferenceData!$BL$100),"")</f>
        <v>957.42700000000002</v>
      </c>
      <c r="BM100" t="str">
        <f ca="1">IFERROR(IF(0=LEN(ReferenceData!$BM$100),"",ReferenceData!$BM$100),"")</f>
        <v/>
      </c>
    </row>
    <row r="101" spans="1:65" x14ac:dyDescent="0.25">
      <c r="A101" t="str">
        <f>IFERROR(IF(0=LEN(ReferenceData!$A$101),"",ReferenceData!$A$101),"")</f>
        <v xml:space="preserve">            M&amp;T Bank Corp</v>
      </c>
      <c r="B101" t="str">
        <f>IFERROR(IF(0=LEN(ReferenceData!$B$101),"",ReferenceData!$B$101),"")</f>
        <v>MTB US Equity</v>
      </c>
      <c r="C101" t="str">
        <f>IFERROR(IF(0=LEN(ReferenceData!$C$101),"",ReferenceData!$C$101),"")</f>
        <v>FR531</v>
      </c>
      <c r="D101" t="str">
        <f>IFERROR(IF(0=LEN(ReferenceData!$D$101),"",ReferenceData!$D$101),"")</f>
        <v>FED_INVT_IN_RE_VENTURES</v>
      </c>
      <c r="E101" t="str">
        <f>IFERROR(IF(0=LEN(ReferenceData!$E$101),"",ReferenceData!$E$101),"")</f>
        <v>Dynamic</v>
      </c>
      <c r="F101">
        <f ca="1">IFERROR(IF(0=LEN(ReferenceData!$F$101),"",ReferenceData!$F$101),"")</f>
        <v>1421.039</v>
      </c>
      <c r="G101">
        <f ca="1">IFERROR(IF(0=LEN(ReferenceData!$G$101),"",ReferenceData!$G$101),"")</f>
        <v>1403.0260000000001</v>
      </c>
      <c r="H101">
        <f ca="1">IFERROR(IF(0=LEN(ReferenceData!$H$101),"",ReferenceData!$H$101),"")</f>
        <v>1371.29</v>
      </c>
      <c r="I101">
        <f ca="1">IFERROR(IF(0=LEN(ReferenceData!$I$101),"",ReferenceData!$I$101),"")</f>
        <v>1363.443</v>
      </c>
      <c r="J101">
        <f ca="1">IFERROR(IF(0=LEN(ReferenceData!$J$101),"",ReferenceData!$J$101),"")</f>
        <v>1380.9449999999999</v>
      </c>
      <c r="K101">
        <f ca="1">IFERROR(IF(0=LEN(ReferenceData!$K$101),"",ReferenceData!$K$101),"")</f>
        <v>1313.194</v>
      </c>
      <c r="L101">
        <f ca="1">IFERROR(IF(0=LEN(ReferenceData!$L$101),"",ReferenceData!$L$101),"")</f>
        <v>1356.941</v>
      </c>
      <c r="M101">
        <f ca="1">IFERROR(IF(0=LEN(ReferenceData!$M$101),"",ReferenceData!$M$101),"")</f>
        <v>1352.0219999999999</v>
      </c>
      <c r="N101">
        <f ca="1">IFERROR(IF(0=LEN(ReferenceData!$N$101),"",ReferenceData!$N$101),"")</f>
        <v>1512.498</v>
      </c>
      <c r="O101">
        <f ca="1">IFERROR(IF(0=LEN(ReferenceData!$O$101),"",ReferenceData!$O$101),"")</f>
        <v>1382.037</v>
      </c>
      <c r="P101">
        <f ca="1">IFERROR(IF(0=LEN(ReferenceData!$P$101),"",ReferenceData!$P$101),"")</f>
        <v>1402.5</v>
      </c>
      <c r="Q101">
        <f ca="1">IFERROR(IF(0=LEN(ReferenceData!$Q$101),"",ReferenceData!$Q$101),"")</f>
        <v>857.83</v>
      </c>
      <c r="R101">
        <f ca="1">IFERROR(IF(0=LEN(ReferenceData!$R$101),"",ReferenceData!$R$101),"")</f>
        <v>887.48199999999997</v>
      </c>
      <c r="S101">
        <f ca="1">IFERROR(IF(0=LEN(ReferenceData!$S$101),"",ReferenceData!$S$101),"")</f>
        <v>812.63599999999997</v>
      </c>
      <c r="T101">
        <f ca="1">IFERROR(IF(0=LEN(ReferenceData!$T$101),"",ReferenceData!$T$101),"")</f>
        <v>824.74699999999996</v>
      </c>
      <c r="U101">
        <f ca="1">IFERROR(IF(0=LEN(ReferenceData!$U$101),"",ReferenceData!$U$101),"")</f>
        <v>842.47900000000004</v>
      </c>
      <c r="V101">
        <f ca="1">IFERROR(IF(0=LEN(ReferenceData!$V$101),"",ReferenceData!$V$101),"")</f>
        <v>850.91</v>
      </c>
      <c r="W101">
        <f ca="1">IFERROR(IF(0=LEN(ReferenceData!$W$101),"",ReferenceData!$W$101),"")</f>
        <v>781.05399999999997</v>
      </c>
      <c r="X101">
        <f ca="1">IFERROR(IF(0=LEN(ReferenceData!$X$101),"",ReferenceData!$X$101),"")</f>
        <v>734.54</v>
      </c>
      <c r="Y101">
        <f ca="1">IFERROR(IF(0=LEN(ReferenceData!$Y$101),"",ReferenceData!$Y$101),"")</f>
        <v>724.36500000000001</v>
      </c>
      <c r="Z101">
        <f ca="1">IFERROR(IF(0=LEN(ReferenceData!$Z$101),"",ReferenceData!$Z$101),"")</f>
        <v>747.98</v>
      </c>
      <c r="AA101">
        <f ca="1">IFERROR(IF(0=LEN(ReferenceData!$AA$101),"",ReferenceData!$AA$101),"")</f>
        <v>603.54899999999998</v>
      </c>
      <c r="AB101">
        <f ca="1">IFERROR(IF(0=LEN(ReferenceData!$AB$101),"",ReferenceData!$AB$101),"")</f>
        <v>573.37400000000002</v>
      </c>
      <c r="AC101">
        <f ca="1">IFERROR(IF(0=LEN(ReferenceData!$AC$101),"",ReferenceData!$AC$101),"")</f>
        <v>517.31100000000004</v>
      </c>
      <c r="AD101">
        <f ca="1">IFERROR(IF(0=LEN(ReferenceData!$AD$101),"",ReferenceData!$AD$101),"")</f>
        <v>522.76700000000005</v>
      </c>
      <c r="AE101">
        <f ca="1">IFERROR(IF(0=LEN(ReferenceData!$AE$101),"",ReferenceData!$AE$101),"")</f>
        <v>457.39100000000002</v>
      </c>
      <c r="AF101">
        <f ca="1">IFERROR(IF(0=LEN(ReferenceData!$AF$101),"",ReferenceData!$AF$101),"")</f>
        <v>463.44299999999998</v>
      </c>
      <c r="AG101">
        <f ca="1">IFERROR(IF(0=LEN(ReferenceData!$AG$101),"",ReferenceData!$AG$101),"")</f>
        <v>406.89299999999997</v>
      </c>
      <c r="AH101">
        <f ca="1">IFERROR(IF(0=LEN(ReferenceData!$AH$101),"",ReferenceData!$AH$101),"")</f>
        <v>405.05200000000002</v>
      </c>
      <c r="AI101">
        <f ca="1">IFERROR(IF(0=LEN(ReferenceData!$AI$101),"",ReferenceData!$AI$101),"")</f>
        <v>319.63299999999998</v>
      </c>
      <c r="AJ101">
        <f ca="1">IFERROR(IF(0=LEN(ReferenceData!$AJ$101),"",ReferenceData!$AJ$101),"")</f>
        <v>322.149</v>
      </c>
      <c r="AK101">
        <f ca="1">IFERROR(IF(0=LEN(ReferenceData!$AK$101),"",ReferenceData!$AK$101),"")</f>
        <v>305.87700000000001</v>
      </c>
      <c r="AL101">
        <f ca="1">IFERROR(IF(0=LEN(ReferenceData!$AL$101),"",ReferenceData!$AL$101),"")</f>
        <v>294.44499999999999</v>
      </c>
      <c r="AM101">
        <f ca="1">IFERROR(IF(0=LEN(ReferenceData!$AM$101),"",ReferenceData!$AM$101),"")</f>
        <v>268.46300000000002</v>
      </c>
      <c r="AN101">
        <f ca="1">IFERROR(IF(0=LEN(ReferenceData!$AN$101),"",ReferenceData!$AN$101),"")</f>
        <v>260.48599999999999</v>
      </c>
      <c r="AO101">
        <f ca="1">IFERROR(IF(0=LEN(ReferenceData!$AO$101),"",ReferenceData!$AO$101),"")</f>
        <v>271.49599999999998</v>
      </c>
      <c r="AP101">
        <f ca="1">IFERROR(IF(0=LEN(ReferenceData!$AP$101),"",ReferenceData!$AP$101),"")</f>
        <v>276.20999999999998</v>
      </c>
      <c r="AQ101">
        <f ca="1">IFERROR(IF(0=LEN(ReferenceData!$AQ$101),"",ReferenceData!$AQ$101),"")</f>
        <v>282.71899999999999</v>
      </c>
      <c r="AR101">
        <f ca="1">IFERROR(IF(0=LEN(ReferenceData!$AR$101),"",ReferenceData!$AR$101),"")</f>
        <v>276.14299999999997</v>
      </c>
      <c r="AS101">
        <f ca="1">IFERROR(IF(0=LEN(ReferenceData!$AS$101),"",ReferenceData!$AS$101),"")</f>
        <v>302.53300000000002</v>
      </c>
      <c r="AT101">
        <f ca="1">IFERROR(IF(0=LEN(ReferenceData!$AT$101),"",ReferenceData!$AT$101),"")</f>
        <v>233.82</v>
      </c>
      <c r="AU101">
        <f ca="1">IFERROR(IF(0=LEN(ReferenceData!$AU$101),"",ReferenceData!$AU$101),"")</f>
        <v>246.80799999999999</v>
      </c>
      <c r="AV101">
        <f ca="1">IFERROR(IF(0=LEN(ReferenceData!$AV$101),"",ReferenceData!$AV$101),"")</f>
        <v>225.35900000000001</v>
      </c>
      <c r="AW101">
        <f ca="1">IFERROR(IF(0=LEN(ReferenceData!$AW$101),"",ReferenceData!$AW$101),"")</f>
        <v>236.79599999999999</v>
      </c>
      <c r="AX101">
        <f ca="1">IFERROR(IF(0=LEN(ReferenceData!$AX$101),"",ReferenceData!$AX$101),"")</f>
        <v>222.33600000000001</v>
      </c>
      <c r="AY101">
        <f ca="1">IFERROR(IF(0=LEN(ReferenceData!$AY$101),"",ReferenceData!$AY$101),"")</f>
        <v>234.21899999999999</v>
      </c>
      <c r="AZ101">
        <f ca="1">IFERROR(IF(0=LEN(ReferenceData!$AZ$101),"",ReferenceData!$AZ$101),"")</f>
        <v>245.95099999999999</v>
      </c>
      <c r="BA101">
        <f ca="1">IFERROR(IF(0=LEN(ReferenceData!$BA$101),"",ReferenceData!$BA$101),"")</f>
        <v>238.029</v>
      </c>
      <c r="BB101">
        <f ca="1">IFERROR(IF(0=LEN(ReferenceData!$BB$101),"",ReferenceData!$BB$101),"")</f>
        <v>247.768</v>
      </c>
      <c r="BC101">
        <f ca="1">IFERROR(IF(0=LEN(ReferenceData!$BC$101),"",ReferenceData!$BC$101),"")</f>
        <v>241.76</v>
      </c>
      <c r="BD101">
        <f ca="1">IFERROR(IF(0=LEN(ReferenceData!$BD$101),"",ReferenceData!$BD$101),"")</f>
        <v>247.08500000000001</v>
      </c>
      <c r="BE101">
        <f ca="1">IFERROR(IF(0=LEN(ReferenceData!$BE$101),"",ReferenceData!$BE$101),"")</f>
        <v>242.25200000000001</v>
      </c>
      <c r="BF101">
        <f ca="1">IFERROR(IF(0=LEN(ReferenceData!$BF$101),"",ReferenceData!$BF$101),"")</f>
        <v>250.02</v>
      </c>
      <c r="BG101">
        <f ca="1">IFERROR(IF(0=LEN(ReferenceData!$BG$101),"",ReferenceData!$BG$101),"")</f>
        <v>214.69900000000001</v>
      </c>
      <c r="BH101">
        <f ca="1">IFERROR(IF(0=LEN(ReferenceData!$BH$101),"",ReferenceData!$BH$101),"")</f>
        <v>223.255</v>
      </c>
      <c r="BI101">
        <f ca="1">IFERROR(IF(0=LEN(ReferenceData!$BI$101),"",ReferenceData!$BI$101),"")</f>
        <v>230.91499999999999</v>
      </c>
      <c r="BJ101">
        <f ca="1">IFERROR(IF(0=LEN(ReferenceData!$BJ$101),"",ReferenceData!$BJ$101),"")</f>
        <v>239.13800000000001</v>
      </c>
      <c r="BK101">
        <f ca="1">IFERROR(IF(0=LEN(ReferenceData!$BK$101),"",ReferenceData!$BK$101),"")</f>
        <v>226.8</v>
      </c>
      <c r="BL101">
        <f ca="1">IFERROR(IF(0=LEN(ReferenceData!$BL$101),"",ReferenceData!$BL$101),"")</f>
        <v>218.34299999999999</v>
      </c>
      <c r="BM101" t="str">
        <f ca="1">IFERROR(IF(0=LEN(ReferenceData!$BM$101),"",ReferenceData!$BM$101),"")</f>
        <v/>
      </c>
    </row>
    <row r="102" spans="1:65" x14ac:dyDescent="0.25">
      <c r="A102" t="str">
        <f>IFERROR(IF(0=LEN(ReferenceData!$A$102),"",ReferenceData!$A$102),"")</f>
        <v xml:space="preserve">            PNC Financial Services Group I</v>
      </c>
      <c r="B102" t="str">
        <f>IFERROR(IF(0=LEN(ReferenceData!$B$102),"",ReferenceData!$B$102),"")</f>
        <v>PNC US Equity</v>
      </c>
      <c r="C102" t="str">
        <f>IFERROR(IF(0=LEN(ReferenceData!$C$102),"",ReferenceData!$C$102),"")</f>
        <v>FR531</v>
      </c>
      <c r="D102" t="str">
        <f>IFERROR(IF(0=LEN(ReferenceData!$D$102),"",ReferenceData!$D$102),"")</f>
        <v>FED_INVT_IN_RE_VENTURES</v>
      </c>
      <c r="E102" t="str">
        <f>IFERROR(IF(0=LEN(ReferenceData!$E$102),"",ReferenceData!$E$102),"")</f>
        <v>Dynamic</v>
      </c>
      <c r="F102" t="str">
        <f ca="1">IFERROR(IF(0=LEN(ReferenceData!$F$102),"",ReferenceData!$F$102),"")</f>
        <v/>
      </c>
      <c r="G102">
        <f ca="1">IFERROR(IF(0=LEN(ReferenceData!$G$102),"",ReferenceData!$G$102),"")</f>
        <v>0</v>
      </c>
      <c r="H102">
        <f ca="1">IFERROR(IF(0=LEN(ReferenceData!$H$102),"",ReferenceData!$H$102),"")</f>
        <v>0</v>
      </c>
      <c r="I102">
        <f ca="1">IFERROR(IF(0=LEN(ReferenceData!$I$102),"",ReferenceData!$I$102),"")</f>
        <v>0</v>
      </c>
      <c r="J102">
        <f ca="1">IFERROR(IF(0=LEN(ReferenceData!$J$102),"",ReferenceData!$J$102),"")</f>
        <v>0</v>
      </c>
      <c r="K102">
        <f ca="1">IFERROR(IF(0=LEN(ReferenceData!$K$102),"",ReferenceData!$K$102),"")</f>
        <v>0</v>
      </c>
      <c r="L102">
        <f ca="1">IFERROR(IF(0=LEN(ReferenceData!$L$102),"",ReferenceData!$L$102),"")</f>
        <v>0</v>
      </c>
      <c r="M102">
        <f ca="1">IFERROR(IF(0=LEN(ReferenceData!$M$102),"",ReferenceData!$M$102),"")</f>
        <v>0</v>
      </c>
      <c r="N102">
        <f ca="1">IFERROR(IF(0=LEN(ReferenceData!$N$102),"",ReferenceData!$N$102),"")</f>
        <v>0</v>
      </c>
      <c r="O102">
        <f ca="1">IFERROR(IF(0=LEN(ReferenceData!$O$102),"",ReferenceData!$O$102),"")</f>
        <v>0</v>
      </c>
      <c r="P102">
        <f ca="1">IFERROR(IF(0=LEN(ReferenceData!$P$102),"",ReferenceData!$P$102),"")</f>
        <v>0</v>
      </c>
      <c r="Q102">
        <f ca="1">IFERROR(IF(0=LEN(ReferenceData!$Q$102),"",ReferenceData!$Q$102),"")</f>
        <v>0</v>
      </c>
      <c r="R102">
        <f ca="1">IFERROR(IF(0=LEN(ReferenceData!$R$102),"",ReferenceData!$R$102),"")</f>
        <v>0</v>
      </c>
      <c r="S102">
        <f ca="1">IFERROR(IF(0=LEN(ReferenceData!$S$102),"",ReferenceData!$S$102),"")</f>
        <v>0</v>
      </c>
      <c r="T102">
        <f ca="1">IFERROR(IF(0=LEN(ReferenceData!$T$102),"",ReferenceData!$T$102),"")</f>
        <v>0</v>
      </c>
      <c r="U102">
        <f ca="1">IFERROR(IF(0=LEN(ReferenceData!$U$102),"",ReferenceData!$U$102),"")</f>
        <v>0</v>
      </c>
      <c r="V102">
        <f ca="1">IFERROR(IF(0=LEN(ReferenceData!$V$102),"",ReferenceData!$V$102),"")</f>
        <v>0</v>
      </c>
      <c r="W102">
        <f ca="1">IFERROR(IF(0=LEN(ReferenceData!$W$102),"",ReferenceData!$W$102),"")</f>
        <v>0</v>
      </c>
      <c r="X102">
        <f ca="1">IFERROR(IF(0=LEN(ReferenceData!$X$102),"",ReferenceData!$X$102),"")</f>
        <v>0</v>
      </c>
      <c r="Y102">
        <f ca="1">IFERROR(IF(0=LEN(ReferenceData!$Y$102),"",ReferenceData!$Y$102),"")</f>
        <v>0</v>
      </c>
      <c r="Z102">
        <f ca="1">IFERROR(IF(0=LEN(ReferenceData!$Z$102),"",ReferenceData!$Z$102),"")</f>
        <v>0</v>
      </c>
      <c r="AA102">
        <f ca="1">IFERROR(IF(0=LEN(ReferenceData!$AA$102),"",ReferenceData!$AA$102),"")</f>
        <v>0</v>
      </c>
      <c r="AB102">
        <f ca="1">IFERROR(IF(0=LEN(ReferenceData!$AB$102),"",ReferenceData!$AB$102),"")</f>
        <v>0</v>
      </c>
      <c r="AC102">
        <f ca="1">IFERROR(IF(0=LEN(ReferenceData!$AC$102),"",ReferenceData!$AC$102),"")</f>
        <v>0</v>
      </c>
      <c r="AD102">
        <f ca="1">IFERROR(IF(0=LEN(ReferenceData!$AD$102),"",ReferenceData!$AD$102),"")</f>
        <v>0</v>
      </c>
      <c r="AE102">
        <f ca="1">IFERROR(IF(0=LEN(ReferenceData!$AE$102),"",ReferenceData!$AE$102),"")</f>
        <v>0</v>
      </c>
      <c r="AF102">
        <f ca="1">IFERROR(IF(0=LEN(ReferenceData!$AF$102),"",ReferenceData!$AF$102),"")</f>
        <v>0</v>
      </c>
      <c r="AG102">
        <f ca="1">IFERROR(IF(0=LEN(ReferenceData!$AG$102),"",ReferenceData!$AG$102),"")</f>
        <v>0</v>
      </c>
      <c r="AH102">
        <f ca="1">IFERROR(IF(0=LEN(ReferenceData!$AH$102),"",ReferenceData!$AH$102),"")</f>
        <v>0</v>
      </c>
      <c r="AI102">
        <f ca="1">IFERROR(IF(0=LEN(ReferenceData!$AI$102),"",ReferenceData!$AI$102),"")</f>
        <v>0</v>
      </c>
      <c r="AJ102">
        <f ca="1">IFERROR(IF(0=LEN(ReferenceData!$AJ$102),"",ReferenceData!$AJ$102),"")</f>
        <v>0</v>
      </c>
      <c r="AK102">
        <f ca="1">IFERROR(IF(0=LEN(ReferenceData!$AK$102),"",ReferenceData!$AK$102),"")</f>
        <v>0</v>
      </c>
      <c r="AL102">
        <f ca="1">IFERROR(IF(0=LEN(ReferenceData!$AL$102),"",ReferenceData!$AL$102),"")</f>
        <v>0</v>
      </c>
      <c r="AM102">
        <f ca="1">IFERROR(IF(0=LEN(ReferenceData!$AM$102),"",ReferenceData!$AM$102),"")</f>
        <v>0</v>
      </c>
      <c r="AN102">
        <f ca="1">IFERROR(IF(0=LEN(ReferenceData!$AN$102),"",ReferenceData!$AN$102),"")</f>
        <v>0</v>
      </c>
      <c r="AO102">
        <f ca="1">IFERROR(IF(0=LEN(ReferenceData!$AO$102),"",ReferenceData!$AO$102),"")</f>
        <v>0</v>
      </c>
      <c r="AP102">
        <f ca="1">IFERROR(IF(0=LEN(ReferenceData!$AP$102),"",ReferenceData!$AP$102),"")</f>
        <v>0</v>
      </c>
      <c r="AQ102">
        <f ca="1">IFERROR(IF(0=LEN(ReferenceData!$AQ$102),"",ReferenceData!$AQ$102),"")</f>
        <v>0</v>
      </c>
      <c r="AR102">
        <f ca="1">IFERROR(IF(0=LEN(ReferenceData!$AR$102),"",ReferenceData!$AR$102),"")</f>
        <v>0</v>
      </c>
      <c r="AS102">
        <f ca="1">IFERROR(IF(0=LEN(ReferenceData!$AS$102),"",ReferenceData!$AS$102),"")</f>
        <v>0</v>
      </c>
      <c r="AT102">
        <f ca="1">IFERROR(IF(0=LEN(ReferenceData!$AT$102),"",ReferenceData!$AT$102),"")</f>
        <v>0</v>
      </c>
      <c r="AU102">
        <f ca="1">IFERROR(IF(0=LEN(ReferenceData!$AU$102),"",ReferenceData!$AU$102),"")</f>
        <v>0</v>
      </c>
      <c r="AV102">
        <f ca="1">IFERROR(IF(0=LEN(ReferenceData!$AV$102),"",ReferenceData!$AV$102),"")</f>
        <v>0</v>
      </c>
      <c r="AW102">
        <f ca="1">IFERROR(IF(0=LEN(ReferenceData!$AW$102),"",ReferenceData!$AW$102),"")</f>
        <v>0</v>
      </c>
      <c r="AX102">
        <f ca="1">IFERROR(IF(0=LEN(ReferenceData!$AX$102),"",ReferenceData!$AX$102),"")</f>
        <v>0</v>
      </c>
      <c r="AY102">
        <f ca="1">IFERROR(IF(0=LEN(ReferenceData!$AY$102),"",ReferenceData!$AY$102),"")</f>
        <v>0</v>
      </c>
      <c r="AZ102">
        <f ca="1">IFERROR(IF(0=LEN(ReferenceData!$AZ$102),"",ReferenceData!$AZ$102),"")</f>
        <v>0</v>
      </c>
      <c r="BA102">
        <f ca="1">IFERROR(IF(0=LEN(ReferenceData!$BA$102),"",ReferenceData!$BA$102),"")</f>
        <v>0</v>
      </c>
      <c r="BB102">
        <f ca="1">IFERROR(IF(0=LEN(ReferenceData!$BB$102),"",ReferenceData!$BB$102),"")</f>
        <v>0</v>
      </c>
      <c r="BC102">
        <f ca="1">IFERROR(IF(0=LEN(ReferenceData!$BC$102),"",ReferenceData!$BC$102),"")</f>
        <v>0</v>
      </c>
      <c r="BD102">
        <f ca="1">IFERROR(IF(0=LEN(ReferenceData!$BD$102),"",ReferenceData!$BD$102),"")</f>
        <v>0</v>
      </c>
      <c r="BE102">
        <f ca="1">IFERROR(IF(0=LEN(ReferenceData!$BE$102),"",ReferenceData!$BE$102),"")</f>
        <v>0</v>
      </c>
      <c r="BF102">
        <f ca="1">IFERROR(IF(0=LEN(ReferenceData!$BF$102),"",ReferenceData!$BF$102),"")</f>
        <v>0</v>
      </c>
      <c r="BG102">
        <f ca="1">IFERROR(IF(0=LEN(ReferenceData!$BG$102),"",ReferenceData!$BG$102),"")</f>
        <v>0</v>
      </c>
      <c r="BH102">
        <f ca="1">IFERROR(IF(0=LEN(ReferenceData!$BH$102),"",ReferenceData!$BH$102),"")</f>
        <v>0</v>
      </c>
      <c r="BI102">
        <f ca="1">IFERROR(IF(0=LEN(ReferenceData!$BI$102),"",ReferenceData!$BI$102),"")</f>
        <v>0</v>
      </c>
      <c r="BJ102">
        <f ca="1">IFERROR(IF(0=LEN(ReferenceData!$BJ$102),"",ReferenceData!$BJ$102),"")</f>
        <v>0</v>
      </c>
      <c r="BK102">
        <f ca="1">IFERROR(IF(0=LEN(ReferenceData!$BK$102),"",ReferenceData!$BK$102),"")</f>
        <v>0</v>
      </c>
      <c r="BL102">
        <f ca="1">IFERROR(IF(0=LEN(ReferenceData!$BL$102),"",ReferenceData!$BL$102),"")</f>
        <v>0</v>
      </c>
      <c r="BM102">
        <f ca="1">IFERROR(IF(0=LEN(ReferenceData!$BM$102),"",ReferenceData!$BM$102),"")</f>
        <v>0</v>
      </c>
    </row>
    <row r="103" spans="1:65" x14ac:dyDescent="0.25">
      <c r="A103" t="str">
        <f>IFERROR(IF(0=LEN(ReferenceData!$A$103),"",ReferenceData!$A$103),"")</f>
        <v xml:space="preserve">            Regions Financial Corp</v>
      </c>
      <c r="B103" t="str">
        <f>IFERROR(IF(0=LEN(ReferenceData!$B$103),"",ReferenceData!$B$103),"")</f>
        <v>RF US Equity</v>
      </c>
      <c r="C103" t="str">
        <f>IFERROR(IF(0=LEN(ReferenceData!$C$103),"",ReferenceData!$C$103),"")</f>
        <v>FR531</v>
      </c>
      <c r="D103" t="str">
        <f>IFERROR(IF(0=LEN(ReferenceData!$D$103),"",ReferenceData!$D$103),"")</f>
        <v>FED_INVT_IN_RE_VENTURES</v>
      </c>
      <c r="E103" t="str">
        <f>IFERROR(IF(0=LEN(ReferenceData!$E$103),"",ReferenceData!$E$103),"")</f>
        <v>Dynamic</v>
      </c>
      <c r="F103" t="str">
        <f ca="1">IFERROR(IF(0=LEN(ReferenceData!$F$103),"",ReferenceData!$F$103),"")</f>
        <v/>
      </c>
      <c r="G103">
        <f ca="1">IFERROR(IF(0=LEN(ReferenceData!$G$103),"",ReferenceData!$G$103),"")</f>
        <v>0</v>
      </c>
      <c r="H103">
        <f ca="1">IFERROR(IF(0=LEN(ReferenceData!$H$103),"",ReferenceData!$H$103),"")</f>
        <v>0</v>
      </c>
      <c r="I103">
        <f ca="1">IFERROR(IF(0=LEN(ReferenceData!$I$103),"",ReferenceData!$I$103),"")</f>
        <v>0</v>
      </c>
      <c r="J103">
        <f ca="1">IFERROR(IF(0=LEN(ReferenceData!$J$103),"",ReferenceData!$J$103),"")</f>
        <v>0</v>
      </c>
      <c r="K103">
        <f ca="1">IFERROR(IF(0=LEN(ReferenceData!$K$103),"",ReferenceData!$K$103),"")</f>
        <v>0</v>
      </c>
      <c r="L103">
        <f ca="1">IFERROR(IF(0=LEN(ReferenceData!$L$103),"",ReferenceData!$L$103),"")</f>
        <v>0</v>
      </c>
      <c r="M103">
        <f ca="1">IFERROR(IF(0=LEN(ReferenceData!$M$103),"",ReferenceData!$M$103),"")</f>
        <v>0</v>
      </c>
      <c r="N103">
        <f ca="1">IFERROR(IF(0=LEN(ReferenceData!$N$103),"",ReferenceData!$N$103),"")</f>
        <v>0</v>
      </c>
      <c r="O103">
        <f ca="1">IFERROR(IF(0=LEN(ReferenceData!$O$103),"",ReferenceData!$O$103),"")</f>
        <v>0</v>
      </c>
      <c r="P103">
        <f ca="1">IFERROR(IF(0=LEN(ReferenceData!$P$103),"",ReferenceData!$P$103),"")</f>
        <v>0</v>
      </c>
      <c r="Q103">
        <f ca="1">IFERROR(IF(0=LEN(ReferenceData!$Q$103),"",ReferenceData!$Q$103),"")</f>
        <v>0</v>
      </c>
      <c r="R103">
        <f ca="1">IFERROR(IF(0=LEN(ReferenceData!$R$103),"",ReferenceData!$R$103),"")</f>
        <v>0</v>
      </c>
      <c r="S103">
        <f ca="1">IFERROR(IF(0=LEN(ReferenceData!$S$103),"",ReferenceData!$S$103),"")</f>
        <v>0</v>
      </c>
      <c r="T103">
        <f ca="1">IFERROR(IF(0=LEN(ReferenceData!$T$103),"",ReferenceData!$T$103),"")</f>
        <v>0</v>
      </c>
      <c r="U103">
        <f ca="1">IFERROR(IF(0=LEN(ReferenceData!$U$103),"",ReferenceData!$U$103),"")</f>
        <v>0</v>
      </c>
      <c r="V103">
        <f ca="1">IFERROR(IF(0=LEN(ReferenceData!$V$103),"",ReferenceData!$V$103),"")</f>
        <v>0</v>
      </c>
      <c r="W103">
        <f ca="1">IFERROR(IF(0=LEN(ReferenceData!$W$103),"",ReferenceData!$W$103),"")</f>
        <v>0</v>
      </c>
      <c r="X103">
        <f ca="1">IFERROR(IF(0=LEN(ReferenceData!$X$103),"",ReferenceData!$X$103),"")</f>
        <v>0</v>
      </c>
      <c r="Y103">
        <f ca="1">IFERROR(IF(0=LEN(ReferenceData!$Y$103),"",ReferenceData!$Y$103),"")</f>
        <v>0</v>
      </c>
      <c r="Z103">
        <f ca="1">IFERROR(IF(0=LEN(ReferenceData!$Z$103),"",ReferenceData!$Z$103),"")</f>
        <v>0</v>
      </c>
      <c r="AA103">
        <f ca="1">IFERROR(IF(0=LEN(ReferenceData!$AA$103),"",ReferenceData!$AA$103),"")</f>
        <v>0</v>
      </c>
      <c r="AB103">
        <f ca="1">IFERROR(IF(0=LEN(ReferenceData!$AB$103),"",ReferenceData!$AB$103),"")</f>
        <v>0</v>
      </c>
      <c r="AC103">
        <f ca="1">IFERROR(IF(0=LEN(ReferenceData!$AC$103),"",ReferenceData!$AC$103),"")</f>
        <v>0</v>
      </c>
      <c r="AD103">
        <f ca="1">IFERROR(IF(0=LEN(ReferenceData!$AD$103),"",ReferenceData!$AD$103),"")</f>
        <v>0</v>
      </c>
      <c r="AE103">
        <f ca="1">IFERROR(IF(0=LEN(ReferenceData!$AE$103),"",ReferenceData!$AE$103),"")</f>
        <v>0</v>
      </c>
      <c r="AF103">
        <f ca="1">IFERROR(IF(0=LEN(ReferenceData!$AF$103),"",ReferenceData!$AF$103),"")</f>
        <v>0</v>
      </c>
      <c r="AG103">
        <f ca="1">IFERROR(IF(0=LEN(ReferenceData!$AG$103),"",ReferenceData!$AG$103),"")</f>
        <v>0</v>
      </c>
      <c r="AH103">
        <f ca="1">IFERROR(IF(0=LEN(ReferenceData!$AH$103),"",ReferenceData!$AH$103),"")</f>
        <v>0</v>
      </c>
      <c r="AI103">
        <f ca="1">IFERROR(IF(0=LEN(ReferenceData!$AI$103),"",ReferenceData!$AI$103),"")</f>
        <v>0</v>
      </c>
      <c r="AJ103">
        <f ca="1">IFERROR(IF(0=LEN(ReferenceData!$AJ$103),"",ReferenceData!$AJ$103),"")</f>
        <v>0</v>
      </c>
      <c r="AK103">
        <f ca="1">IFERROR(IF(0=LEN(ReferenceData!$AK$103),"",ReferenceData!$AK$103),"")</f>
        <v>0</v>
      </c>
      <c r="AL103">
        <f ca="1">IFERROR(IF(0=LEN(ReferenceData!$AL$103),"",ReferenceData!$AL$103),"")</f>
        <v>0</v>
      </c>
      <c r="AM103">
        <f ca="1">IFERROR(IF(0=LEN(ReferenceData!$AM$103),"",ReferenceData!$AM$103),"")</f>
        <v>0</v>
      </c>
      <c r="AN103">
        <f ca="1">IFERROR(IF(0=LEN(ReferenceData!$AN$103),"",ReferenceData!$AN$103),"")</f>
        <v>0</v>
      </c>
      <c r="AO103">
        <f ca="1">IFERROR(IF(0=LEN(ReferenceData!$AO$103),"",ReferenceData!$AO$103),"")</f>
        <v>0</v>
      </c>
      <c r="AP103">
        <f ca="1">IFERROR(IF(0=LEN(ReferenceData!$AP$103),"",ReferenceData!$AP$103),"")</f>
        <v>0</v>
      </c>
      <c r="AQ103">
        <f ca="1">IFERROR(IF(0=LEN(ReferenceData!$AQ$103),"",ReferenceData!$AQ$103),"")</f>
        <v>0</v>
      </c>
      <c r="AR103">
        <f ca="1">IFERROR(IF(0=LEN(ReferenceData!$AR$103),"",ReferenceData!$AR$103),"")</f>
        <v>0</v>
      </c>
      <c r="AS103">
        <f ca="1">IFERROR(IF(0=LEN(ReferenceData!$AS$103),"",ReferenceData!$AS$103),"")</f>
        <v>0</v>
      </c>
      <c r="AT103">
        <f ca="1">IFERROR(IF(0=LEN(ReferenceData!$AT$103),"",ReferenceData!$AT$103),"")</f>
        <v>0</v>
      </c>
      <c r="AU103">
        <f ca="1">IFERROR(IF(0=LEN(ReferenceData!$AU$103),"",ReferenceData!$AU$103),"")</f>
        <v>0</v>
      </c>
      <c r="AV103">
        <f ca="1">IFERROR(IF(0=LEN(ReferenceData!$AV$103),"",ReferenceData!$AV$103),"")</f>
        <v>0</v>
      </c>
      <c r="AW103">
        <f ca="1">IFERROR(IF(0=LEN(ReferenceData!$AW$103),"",ReferenceData!$AW$103),"")</f>
        <v>0</v>
      </c>
      <c r="AX103">
        <f ca="1">IFERROR(IF(0=LEN(ReferenceData!$AX$103),"",ReferenceData!$AX$103),"")</f>
        <v>0</v>
      </c>
      <c r="AY103">
        <f ca="1">IFERROR(IF(0=LEN(ReferenceData!$AY$103),"",ReferenceData!$AY$103),"")</f>
        <v>0</v>
      </c>
      <c r="AZ103">
        <f ca="1">IFERROR(IF(0=LEN(ReferenceData!$AZ$103),"",ReferenceData!$AZ$103),"")</f>
        <v>0</v>
      </c>
      <c r="BA103">
        <f ca="1">IFERROR(IF(0=LEN(ReferenceData!$BA$103),"",ReferenceData!$BA$103),"")</f>
        <v>0</v>
      </c>
      <c r="BB103">
        <f ca="1">IFERROR(IF(0=LEN(ReferenceData!$BB$103),"",ReferenceData!$BB$103),"")</f>
        <v>0</v>
      </c>
      <c r="BC103">
        <f ca="1">IFERROR(IF(0=LEN(ReferenceData!$BC$103),"",ReferenceData!$BC$103),"")</f>
        <v>0</v>
      </c>
      <c r="BD103">
        <f ca="1">IFERROR(IF(0=LEN(ReferenceData!$BD$103),"",ReferenceData!$BD$103),"")</f>
        <v>0</v>
      </c>
      <c r="BE103">
        <f ca="1">IFERROR(IF(0=LEN(ReferenceData!$BE$103),"",ReferenceData!$BE$103),"")</f>
        <v>0</v>
      </c>
      <c r="BF103">
        <f ca="1">IFERROR(IF(0=LEN(ReferenceData!$BF$103),"",ReferenceData!$BF$103),"")</f>
        <v>0</v>
      </c>
      <c r="BG103">
        <f ca="1">IFERROR(IF(0=LEN(ReferenceData!$BG$103),"",ReferenceData!$BG$103),"")</f>
        <v>0</v>
      </c>
      <c r="BH103">
        <f ca="1">IFERROR(IF(0=LEN(ReferenceData!$BH$103),"",ReferenceData!$BH$103),"")</f>
        <v>0</v>
      </c>
      <c r="BI103">
        <f ca="1">IFERROR(IF(0=LEN(ReferenceData!$BI$103),"",ReferenceData!$BI$103),"")</f>
        <v>0</v>
      </c>
      <c r="BJ103">
        <f ca="1">IFERROR(IF(0=LEN(ReferenceData!$BJ$103),"",ReferenceData!$BJ$103),"")</f>
        <v>0</v>
      </c>
      <c r="BK103">
        <f ca="1">IFERROR(IF(0=LEN(ReferenceData!$BK$103),"",ReferenceData!$BK$103),"")</f>
        <v>0</v>
      </c>
      <c r="BL103">
        <f ca="1">IFERROR(IF(0=LEN(ReferenceData!$BL$103),"",ReferenceData!$BL$103),"")</f>
        <v>0</v>
      </c>
      <c r="BM103">
        <f ca="1">IFERROR(IF(0=LEN(ReferenceData!$BM$103),"",ReferenceData!$BM$103),"")</f>
        <v>0</v>
      </c>
    </row>
    <row r="104" spans="1:65" x14ac:dyDescent="0.25">
      <c r="A104" t="str">
        <f>IFERROR(IF(0=LEN(ReferenceData!$A$104),"",ReferenceData!$A$104),"")</f>
        <v xml:space="preserve">            Truist Financial Corp</v>
      </c>
      <c r="B104" t="str">
        <f>IFERROR(IF(0=LEN(ReferenceData!$B$104),"",ReferenceData!$B$104),"")</f>
        <v>TFC US Equity</v>
      </c>
      <c r="C104" t="str">
        <f>IFERROR(IF(0=LEN(ReferenceData!$C$104),"",ReferenceData!$C$104),"")</f>
        <v>FR531</v>
      </c>
      <c r="D104" t="str">
        <f>IFERROR(IF(0=LEN(ReferenceData!$D$104),"",ReferenceData!$D$104),"")</f>
        <v>FED_INVT_IN_RE_VENTURES</v>
      </c>
      <c r="E104" t="str">
        <f>IFERROR(IF(0=LEN(ReferenceData!$E$104),"",ReferenceData!$E$104),"")</f>
        <v>Dynamic</v>
      </c>
      <c r="F104">
        <f ca="1">IFERROR(IF(0=LEN(ReferenceData!$F$104),"",ReferenceData!$F$104),"")</f>
        <v>82</v>
      </c>
      <c r="G104">
        <f ca="1">IFERROR(IF(0=LEN(ReferenceData!$G$104),"",ReferenceData!$G$104),"")</f>
        <v>58</v>
      </c>
      <c r="H104">
        <f ca="1">IFERROR(IF(0=LEN(ReferenceData!$H$104),"",ReferenceData!$H$104),"")</f>
        <v>59</v>
      </c>
      <c r="I104">
        <f ca="1">IFERROR(IF(0=LEN(ReferenceData!$I$104),"",ReferenceData!$I$104),"")</f>
        <v>57</v>
      </c>
      <c r="J104">
        <f ca="1">IFERROR(IF(0=LEN(ReferenceData!$J$104),"",ReferenceData!$J$104),"")</f>
        <v>49</v>
      </c>
      <c r="K104">
        <f ca="1">IFERROR(IF(0=LEN(ReferenceData!$K$104),"",ReferenceData!$K$104),"")</f>
        <v>48</v>
      </c>
      <c r="L104">
        <f ca="1">IFERROR(IF(0=LEN(ReferenceData!$L$104),"",ReferenceData!$L$104),"")</f>
        <v>46</v>
      </c>
      <c r="M104">
        <f ca="1">IFERROR(IF(0=LEN(ReferenceData!$M$104),"",ReferenceData!$M$104),"")</f>
        <v>44</v>
      </c>
      <c r="N104">
        <f ca="1">IFERROR(IF(0=LEN(ReferenceData!$N$104),"",ReferenceData!$N$104),"")</f>
        <v>14</v>
      </c>
      <c r="O104">
        <f ca="1">IFERROR(IF(0=LEN(ReferenceData!$O$104),"",ReferenceData!$O$104),"")</f>
        <v>13</v>
      </c>
      <c r="P104">
        <f ca="1">IFERROR(IF(0=LEN(ReferenceData!$P$104),"",ReferenceData!$P$104),"")</f>
        <v>14</v>
      </c>
      <c r="Q104">
        <f ca="1">IFERROR(IF(0=LEN(ReferenceData!$Q$104),"",ReferenceData!$Q$104),"")</f>
        <v>12</v>
      </c>
      <c r="R104">
        <f ca="1">IFERROR(IF(0=LEN(ReferenceData!$R$104),"",ReferenceData!$R$104),"")</f>
        <v>9</v>
      </c>
      <c r="S104">
        <f ca="1">IFERROR(IF(0=LEN(ReferenceData!$S$104),"",ReferenceData!$S$104),"")</f>
        <v>6</v>
      </c>
      <c r="T104">
        <f ca="1">IFERROR(IF(0=LEN(ReferenceData!$T$104),"",ReferenceData!$T$104),"")</f>
        <v>8</v>
      </c>
      <c r="U104">
        <f ca="1">IFERROR(IF(0=LEN(ReferenceData!$U$104),"",ReferenceData!$U$104),"")</f>
        <v>4</v>
      </c>
      <c r="V104">
        <f ca="1">IFERROR(IF(0=LEN(ReferenceData!$V$104),"",ReferenceData!$V$104),"")</f>
        <v>5</v>
      </c>
      <c r="W104">
        <f ca="1">IFERROR(IF(0=LEN(ReferenceData!$W$104),"",ReferenceData!$W$104),"")</f>
        <v>5</v>
      </c>
      <c r="X104">
        <f ca="1">IFERROR(IF(0=LEN(ReferenceData!$X$104),"",ReferenceData!$X$104),"")</f>
        <v>5</v>
      </c>
      <c r="Y104">
        <f ca="1">IFERROR(IF(0=LEN(ReferenceData!$Y$104),"",ReferenceData!$Y$104),"")</f>
        <v>5</v>
      </c>
      <c r="Z104">
        <f ca="1">IFERROR(IF(0=LEN(ReferenceData!$Z$104),"",ReferenceData!$Z$104),"")</f>
        <v>5</v>
      </c>
      <c r="AA104">
        <f ca="1">IFERROR(IF(0=LEN(ReferenceData!$AA$104),"",ReferenceData!$AA$104),"")</f>
        <v>7</v>
      </c>
      <c r="AB104">
        <f ca="1">IFERROR(IF(0=LEN(ReferenceData!$AB$104),"",ReferenceData!$AB$104),"")</f>
        <v>7</v>
      </c>
      <c r="AC104">
        <f ca="1">IFERROR(IF(0=LEN(ReferenceData!$AC$104),"",ReferenceData!$AC$104),"")</f>
        <v>7</v>
      </c>
      <c r="AD104">
        <f ca="1">IFERROR(IF(0=LEN(ReferenceData!$AD$104),"",ReferenceData!$AD$104),"")</f>
        <v>7</v>
      </c>
      <c r="AE104">
        <f ca="1">IFERROR(IF(0=LEN(ReferenceData!$AE$104),"",ReferenceData!$AE$104),"")</f>
        <v>8</v>
      </c>
      <c r="AF104">
        <f ca="1">IFERROR(IF(0=LEN(ReferenceData!$AF$104),"",ReferenceData!$AF$104),"")</f>
        <v>7</v>
      </c>
      <c r="AG104">
        <f ca="1">IFERROR(IF(0=LEN(ReferenceData!$AG$104),"",ReferenceData!$AG$104),"")</f>
        <v>8</v>
      </c>
      <c r="AH104">
        <f ca="1">IFERROR(IF(0=LEN(ReferenceData!$AH$104),"",ReferenceData!$AH$104),"")</f>
        <v>8</v>
      </c>
      <c r="AI104">
        <f ca="1">IFERROR(IF(0=LEN(ReferenceData!$AI$104),"",ReferenceData!$AI$104),"")</f>
        <v>8</v>
      </c>
      <c r="AJ104">
        <f ca="1">IFERROR(IF(0=LEN(ReferenceData!$AJ$104),"",ReferenceData!$AJ$104),"")</f>
        <v>8</v>
      </c>
      <c r="AK104">
        <f ca="1">IFERROR(IF(0=LEN(ReferenceData!$AK$104),"",ReferenceData!$AK$104),"")</f>
        <v>8.02</v>
      </c>
      <c r="AL104">
        <f ca="1">IFERROR(IF(0=LEN(ReferenceData!$AL$104),"",ReferenceData!$AL$104),"")</f>
        <v>6.024</v>
      </c>
      <c r="AM104">
        <f ca="1">IFERROR(IF(0=LEN(ReferenceData!$AM$104),"",ReferenceData!$AM$104),"")</f>
        <v>5.5410000000000004</v>
      </c>
      <c r="AN104">
        <f ca="1">IFERROR(IF(0=LEN(ReferenceData!$AN$104),"",ReferenceData!$AN$104),"")</f>
        <v>5.8310000000000004</v>
      </c>
      <c r="AO104">
        <f ca="1">IFERROR(IF(0=LEN(ReferenceData!$AO$104),"",ReferenceData!$AO$104),"")</f>
        <v>6.1120000000000001</v>
      </c>
      <c r="AP104">
        <f ca="1">IFERROR(IF(0=LEN(ReferenceData!$AP$104),"",ReferenceData!$AP$104),"")</f>
        <v>6.1959999999999997</v>
      </c>
      <c r="AQ104">
        <f ca="1">IFERROR(IF(0=LEN(ReferenceData!$AQ$104),"",ReferenceData!$AQ$104),"")</f>
        <v>6.2560000000000002</v>
      </c>
      <c r="AR104">
        <f ca="1">IFERROR(IF(0=LEN(ReferenceData!$AR$104),"",ReferenceData!$AR$104),"")</f>
        <v>6.25</v>
      </c>
      <c r="AS104">
        <f ca="1">IFERROR(IF(0=LEN(ReferenceData!$AS$104),"",ReferenceData!$AS$104),"")</f>
        <v>3.88</v>
      </c>
      <c r="AT104">
        <f ca="1">IFERROR(IF(0=LEN(ReferenceData!$AT$104),"",ReferenceData!$AT$104),"")</f>
        <v>3.831</v>
      </c>
      <c r="AU104">
        <f ca="1">IFERROR(IF(0=LEN(ReferenceData!$AU$104),"",ReferenceData!$AU$104),"")</f>
        <v>2.6920000000000002</v>
      </c>
      <c r="AV104">
        <f ca="1">IFERROR(IF(0=LEN(ReferenceData!$AV$104),"",ReferenceData!$AV$104),"")</f>
        <v>3.234</v>
      </c>
      <c r="AW104">
        <f ca="1">IFERROR(IF(0=LEN(ReferenceData!$AW$104),"",ReferenceData!$AW$104),"")</f>
        <v>3.238</v>
      </c>
      <c r="AX104">
        <f ca="1">IFERROR(IF(0=LEN(ReferenceData!$AX$104),"",ReferenceData!$AX$104),"")</f>
        <v>4.0830000000000002</v>
      </c>
      <c r="AY104">
        <f ca="1">IFERROR(IF(0=LEN(ReferenceData!$AY$104),"",ReferenceData!$AY$104),"")</f>
        <v>2.2090000000000001</v>
      </c>
      <c r="AZ104">
        <f ca="1">IFERROR(IF(0=LEN(ReferenceData!$AZ$104),"",ReferenceData!$AZ$104),"")</f>
        <v>2.1110000000000002</v>
      </c>
      <c r="BA104">
        <f ca="1">IFERROR(IF(0=LEN(ReferenceData!$BA$104),"",ReferenceData!$BA$104),"")</f>
        <v>2.1960000000000002</v>
      </c>
      <c r="BB104">
        <f ca="1">IFERROR(IF(0=LEN(ReferenceData!$BB$104),"",ReferenceData!$BB$104),"")</f>
        <v>2.5289999999999999</v>
      </c>
      <c r="BC104">
        <f ca="1">IFERROR(IF(0=LEN(ReferenceData!$BC$104),"",ReferenceData!$BC$104),"")</f>
        <v>1.9139999999999999</v>
      </c>
      <c r="BD104">
        <f ca="1">IFERROR(IF(0=LEN(ReferenceData!$BD$104),"",ReferenceData!$BD$104),"")</f>
        <v>1.9359999999999999</v>
      </c>
      <c r="BE104">
        <f ca="1">IFERROR(IF(0=LEN(ReferenceData!$BE$104),"",ReferenceData!$BE$104),"")</f>
        <v>2.0379999999999998</v>
      </c>
      <c r="BF104">
        <f ca="1">IFERROR(IF(0=LEN(ReferenceData!$BF$104),"",ReferenceData!$BF$104),"")</f>
        <v>2.0379999999999998</v>
      </c>
      <c r="BG104">
        <f ca="1">IFERROR(IF(0=LEN(ReferenceData!$BG$104),"",ReferenceData!$BG$104),"")</f>
        <v>2.0379999999999998</v>
      </c>
      <c r="BH104">
        <f ca="1">IFERROR(IF(0=LEN(ReferenceData!$BH$104),"",ReferenceData!$BH$104),"")</f>
        <v>2.3210000000000002</v>
      </c>
      <c r="BI104">
        <f ca="1">IFERROR(IF(0=LEN(ReferenceData!$BI$104),"",ReferenceData!$BI$104),"")</f>
        <v>2.3210000000000002</v>
      </c>
      <c r="BJ104">
        <f ca="1">IFERROR(IF(0=LEN(ReferenceData!$BJ$104),"",ReferenceData!$BJ$104),"")</f>
        <v>0</v>
      </c>
      <c r="BK104">
        <f ca="1">IFERROR(IF(0=LEN(ReferenceData!$BK$104),"",ReferenceData!$BK$104),"")</f>
        <v>0</v>
      </c>
      <c r="BL104">
        <f ca="1">IFERROR(IF(0=LEN(ReferenceData!$BL$104),"",ReferenceData!$BL$104),"")</f>
        <v>0</v>
      </c>
      <c r="BM104" t="str">
        <f ca="1">IFERROR(IF(0=LEN(ReferenceData!$BM$104),"",ReferenceData!$BM$104),"")</f>
        <v/>
      </c>
    </row>
    <row r="105" spans="1:65" x14ac:dyDescent="0.25">
      <c r="A105" t="str">
        <f>IFERROR(IF(0=LEN(ReferenceData!$A$105),"",ReferenceData!$A$105),"")</f>
        <v xml:space="preserve">            US Bancorp</v>
      </c>
      <c r="B105" t="str">
        <f>IFERROR(IF(0=LEN(ReferenceData!$B$105),"",ReferenceData!$B$105),"")</f>
        <v>USB US Equity</v>
      </c>
      <c r="C105" t="str">
        <f>IFERROR(IF(0=LEN(ReferenceData!$C$105),"",ReferenceData!$C$105),"")</f>
        <v>FR531</v>
      </c>
      <c r="D105" t="str">
        <f>IFERROR(IF(0=LEN(ReferenceData!$D$105),"",ReferenceData!$D$105),"")</f>
        <v>FED_INVT_IN_RE_VENTURES</v>
      </c>
      <c r="E105" t="str">
        <f>IFERROR(IF(0=LEN(ReferenceData!$E$105),"",ReferenceData!$E$105),"")</f>
        <v>Dynamic</v>
      </c>
      <c r="F105">
        <f ca="1">IFERROR(IF(0=LEN(ReferenceData!$F$105),"",ReferenceData!$F$105),"")</f>
        <v>0</v>
      </c>
      <c r="G105">
        <f ca="1">IFERROR(IF(0=LEN(ReferenceData!$G$105),"",ReferenceData!$G$105),"")</f>
        <v>0</v>
      </c>
      <c r="H105">
        <f ca="1">IFERROR(IF(0=LEN(ReferenceData!$H$105),"",ReferenceData!$H$105),"")</f>
        <v>0</v>
      </c>
      <c r="I105">
        <f ca="1">IFERROR(IF(0=LEN(ReferenceData!$I$105),"",ReferenceData!$I$105),"")</f>
        <v>0</v>
      </c>
      <c r="J105">
        <f ca="1">IFERROR(IF(0=LEN(ReferenceData!$J$105),"",ReferenceData!$J$105),"")</f>
        <v>0</v>
      </c>
      <c r="K105">
        <f ca="1">IFERROR(IF(0=LEN(ReferenceData!$K$105),"",ReferenceData!$K$105),"")</f>
        <v>0</v>
      </c>
      <c r="L105">
        <f ca="1">IFERROR(IF(0=LEN(ReferenceData!$L$105),"",ReferenceData!$L$105),"")</f>
        <v>0</v>
      </c>
      <c r="M105">
        <f ca="1">IFERROR(IF(0=LEN(ReferenceData!$M$105),"",ReferenceData!$M$105),"")</f>
        <v>0</v>
      </c>
      <c r="N105">
        <f ca="1">IFERROR(IF(0=LEN(ReferenceData!$N$105),"",ReferenceData!$N$105),"")</f>
        <v>0</v>
      </c>
      <c r="O105">
        <f ca="1">IFERROR(IF(0=LEN(ReferenceData!$O$105),"",ReferenceData!$O$105),"")</f>
        <v>0</v>
      </c>
      <c r="P105">
        <f ca="1">IFERROR(IF(0=LEN(ReferenceData!$P$105),"",ReferenceData!$P$105),"")</f>
        <v>0</v>
      </c>
      <c r="Q105">
        <f ca="1">IFERROR(IF(0=LEN(ReferenceData!$Q$105),"",ReferenceData!$Q$105),"")</f>
        <v>0</v>
      </c>
      <c r="R105">
        <f ca="1">IFERROR(IF(0=LEN(ReferenceData!$R$105),"",ReferenceData!$R$105),"")</f>
        <v>0</v>
      </c>
      <c r="S105">
        <f ca="1">IFERROR(IF(0=LEN(ReferenceData!$S$105),"",ReferenceData!$S$105),"")</f>
        <v>0</v>
      </c>
      <c r="T105">
        <f ca="1">IFERROR(IF(0=LEN(ReferenceData!$T$105),"",ReferenceData!$T$105),"")</f>
        <v>0</v>
      </c>
      <c r="U105">
        <f ca="1">IFERROR(IF(0=LEN(ReferenceData!$U$105),"",ReferenceData!$U$105),"")</f>
        <v>0</v>
      </c>
      <c r="V105">
        <f ca="1">IFERROR(IF(0=LEN(ReferenceData!$V$105),"",ReferenceData!$V$105),"")</f>
        <v>0</v>
      </c>
      <c r="W105">
        <f ca="1">IFERROR(IF(0=LEN(ReferenceData!$W$105),"",ReferenceData!$W$105),"")</f>
        <v>0</v>
      </c>
      <c r="X105">
        <f ca="1">IFERROR(IF(0=LEN(ReferenceData!$X$105),"",ReferenceData!$X$105),"")</f>
        <v>0</v>
      </c>
      <c r="Y105">
        <f ca="1">IFERROR(IF(0=LEN(ReferenceData!$Y$105),"",ReferenceData!$Y$105),"")</f>
        <v>0</v>
      </c>
      <c r="Z105">
        <f ca="1">IFERROR(IF(0=LEN(ReferenceData!$Z$105),"",ReferenceData!$Z$105),"")</f>
        <v>0</v>
      </c>
      <c r="AA105">
        <f ca="1">IFERROR(IF(0=LEN(ReferenceData!$AA$105),"",ReferenceData!$AA$105),"")</f>
        <v>0</v>
      </c>
      <c r="AB105">
        <f ca="1">IFERROR(IF(0=LEN(ReferenceData!$AB$105),"",ReferenceData!$AB$105),"")</f>
        <v>0</v>
      </c>
      <c r="AC105">
        <f ca="1">IFERROR(IF(0=LEN(ReferenceData!$AC$105),"",ReferenceData!$AC$105),"")</f>
        <v>0</v>
      </c>
      <c r="AD105">
        <f ca="1">IFERROR(IF(0=LEN(ReferenceData!$AD$105),"",ReferenceData!$AD$105),"")</f>
        <v>0</v>
      </c>
      <c r="AE105">
        <f ca="1">IFERROR(IF(0=LEN(ReferenceData!$AE$105),"",ReferenceData!$AE$105),"")</f>
        <v>0</v>
      </c>
      <c r="AF105">
        <f ca="1">IFERROR(IF(0=LEN(ReferenceData!$AF$105),"",ReferenceData!$AF$105),"")</f>
        <v>0</v>
      </c>
      <c r="AG105">
        <f ca="1">IFERROR(IF(0=LEN(ReferenceData!$AG$105),"",ReferenceData!$AG$105),"")</f>
        <v>0</v>
      </c>
      <c r="AH105">
        <f ca="1">IFERROR(IF(0=LEN(ReferenceData!$AH$105),"",ReferenceData!$AH$105),"")</f>
        <v>0</v>
      </c>
      <c r="AI105">
        <f ca="1">IFERROR(IF(0=LEN(ReferenceData!$AI$105),"",ReferenceData!$AI$105),"")</f>
        <v>0</v>
      </c>
      <c r="AJ105">
        <f ca="1">IFERROR(IF(0=LEN(ReferenceData!$AJ$105),"",ReferenceData!$AJ$105),"")</f>
        <v>0</v>
      </c>
      <c r="AK105">
        <f ca="1">IFERROR(IF(0=LEN(ReferenceData!$AK$105),"",ReferenceData!$AK$105),"")</f>
        <v>0</v>
      </c>
      <c r="AL105">
        <f ca="1">IFERROR(IF(0=LEN(ReferenceData!$AL$105),"",ReferenceData!$AL$105),"")</f>
        <v>0</v>
      </c>
      <c r="AM105">
        <f ca="1">IFERROR(IF(0=LEN(ReferenceData!$AM$105),"",ReferenceData!$AM$105),"")</f>
        <v>0</v>
      </c>
      <c r="AN105">
        <f ca="1">IFERROR(IF(0=LEN(ReferenceData!$AN$105),"",ReferenceData!$AN$105),"")</f>
        <v>0</v>
      </c>
      <c r="AO105">
        <f ca="1">IFERROR(IF(0=LEN(ReferenceData!$AO$105),"",ReferenceData!$AO$105),"")</f>
        <v>0</v>
      </c>
      <c r="AP105">
        <f ca="1">IFERROR(IF(0=LEN(ReferenceData!$AP$105),"",ReferenceData!$AP$105),"")</f>
        <v>0</v>
      </c>
      <c r="AQ105">
        <f ca="1">IFERROR(IF(0=LEN(ReferenceData!$AQ$105),"",ReferenceData!$AQ$105),"")</f>
        <v>0</v>
      </c>
      <c r="AR105">
        <f ca="1">IFERROR(IF(0=LEN(ReferenceData!$AR$105),"",ReferenceData!$AR$105),"")</f>
        <v>0</v>
      </c>
      <c r="AS105">
        <f ca="1">IFERROR(IF(0=LEN(ReferenceData!$AS$105),"",ReferenceData!$AS$105),"")</f>
        <v>0</v>
      </c>
      <c r="AT105">
        <f ca="1">IFERROR(IF(0=LEN(ReferenceData!$AT$105),"",ReferenceData!$AT$105),"")</f>
        <v>0</v>
      </c>
      <c r="AU105">
        <f ca="1">IFERROR(IF(0=LEN(ReferenceData!$AU$105),"",ReferenceData!$AU$105),"")</f>
        <v>0</v>
      </c>
      <c r="AV105">
        <f ca="1">IFERROR(IF(0=LEN(ReferenceData!$AV$105),"",ReferenceData!$AV$105),"")</f>
        <v>0</v>
      </c>
      <c r="AW105">
        <f ca="1">IFERROR(IF(0=LEN(ReferenceData!$AW$105),"",ReferenceData!$AW$105),"")</f>
        <v>0</v>
      </c>
      <c r="AX105">
        <f ca="1">IFERROR(IF(0=LEN(ReferenceData!$AX$105),"",ReferenceData!$AX$105),"")</f>
        <v>0</v>
      </c>
      <c r="AY105">
        <f ca="1">IFERROR(IF(0=LEN(ReferenceData!$AY$105),"",ReferenceData!$AY$105),"")</f>
        <v>0</v>
      </c>
      <c r="AZ105">
        <f ca="1">IFERROR(IF(0=LEN(ReferenceData!$AZ$105),"",ReferenceData!$AZ$105),"")</f>
        <v>0</v>
      </c>
      <c r="BA105">
        <f ca="1">IFERROR(IF(0=LEN(ReferenceData!$BA$105),"",ReferenceData!$BA$105),"")</f>
        <v>0</v>
      </c>
      <c r="BB105">
        <f ca="1">IFERROR(IF(0=LEN(ReferenceData!$BB$105),"",ReferenceData!$BB$105),"")</f>
        <v>0</v>
      </c>
      <c r="BC105">
        <f ca="1">IFERROR(IF(0=LEN(ReferenceData!$BC$105),"",ReferenceData!$BC$105),"")</f>
        <v>0</v>
      </c>
      <c r="BD105">
        <f ca="1">IFERROR(IF(0=LEN(ReferenceData!$BD$105),"",ReferenceData!$BD$105),"")</f>
        <v>0</v>
      </c>
      <c r="BE105">
        <f ca="1">IFERROR(IF(0=LEN(ReferenceData!$BE$105),"",ReferenceData!$BE$105),"")</f>
        <v>0</v>
      </c>
      <c r="BF105">
        <f ca="1">IFERROR(IF(0=LEN(ReferenceData!$BF$105),"",ReferenceData!$BF$105),"")</f>
        <v>0</v>
      </c>
      <c r="BG105">
        <f ca="1">IFERROR(IF(0=LEN(ReferenceData!$BG$105),"",ReferenceData!$BG$105),"")</f>
        <v>0</v>
      </c>
      <c r="BH105">
        <f ca="1">IFERROR(IF(0=LEN(ReferenceData!$BH$105),"",ReferenceData!$BH$105),"")</f>
        <v>0</v>
      </c>
      <c r="BI105">
        <f ca="1">IFERROR(IF(0=LEN(ReferenceData!$BI$105),"",ReferenceData!$BI$105),"")</f>
        <v>0</v>
      </c>
      <c r="BJ105">
        <f ca="1">IFERROR(IF(0=LEN(ReferenceData!$BJ$105),"",ReferenceData!$BJ$105),"")</f>
        <v>0</v>
      </c>
      <c r="BK105">
        <f ca="1">IFERROR(IF(0=LEN(ReferenceData!$BK$105),"",ReferenceData!$BK$105),"")</f>
        <v>0</v>
      </c>
      <c r="BL105">
        <f ca="1">IFERROR(IF(0=LEN(ReferenceData!$BL$105),"",ReferenceData!$BL$105),"")</f>
        <v>0</v>
      </c>
      <c r="BM105" t="str">
        <f ca="1">IFERROR(IF(0=LEN(ReferenceData!$BM$105),"",ReferenceData!$BM$105),"")</f>
        <v/>
      </c>
    </row>
    <row r="106" spans="1:65" x14ac:dyDescent="0.25">
      <c r="A106" t="str">
        <f>IFERROR(IF(0=LEN(ReferenceData!$A$106),"",ReferenceData!$A$106),"")</f>
        <v xml:space="preserve">            Wells Fargo &amp; Co</v>
      </c>
      <c r="B106" t="str">
        <f>IFERROR(IF(0=LEN(ReferenceData!$B$106),"",ReferenceData!$B$106),"")</f>
        <v>WFC US Equity</v>
      </c>
      <c r="C106" t="str">
        <f>IFERROR(IF(0=LEN(ReferenceData!$C$106),"",ReferenceData!$C$106),"")</f>
        <v>FR531</v>
      </c>
      <c r="D106" t="str">
        <f>IFERROR(IF(0=LEN(ReferenceData!$D$106),"",ReferenceData!$D$106),"")</f>
        <v>FED_INVT_IN_RE_VENTURES</v>
      </c>
      <c r="E106" t="str">
        <f>IFERROR(IF(0=LEN(ReferenceData!$E$106),"",ReferenceData!$E$106),"")</f>
        <v>Dynamic</v>
      </c>
      <c r="F106">
        <f ca="1">IFERROR(IF(0=LEN(ReferenceData!$F$106),"",ReferenceData!$F$106),"")</f>
        <v>0</v>
      </c>
      <c r="G106">
        <f ca="1">IFERROR(IF(0=LEN(ReferenceData!$G$106),"",ReferenceData!$G$106),"")</f>
        <v>0</v>
      </c>
      <c r="H106">
        <f ca="1">IFERROR(IF(0=LEN(ReferenceData!$H$106),"",ReferenceData!$H$106),"")</f>
        <v>0</v>
      </c>
      <c r="I106">
        <f ca="1">IFERROR(IF(0=LEN(ReferenceData!$I$106),"",ReferenceData!$I$106),"")</f>
        <v>0</v>
      </c>
      <c r="J106">
        <f ca="1">IFERROR(IF(0=LEN(ReferenceData!$J$106),"",ReferenceData!$J$106),"")</f>
        <v>0</v>
      </c>
      <c r="K106">
        <f ca="1">IFERROR(IF(0=LEN(ReferenceData!$K$106),"",ReferenceData!$K$106),"")</f>
        <v>0</v>
      </c>
      <c r="L106">
        <f ca="1">IFERROR(IF(0=LEN(ReferenceData!$L$106),"",ReferenceData!$L$106),"")</f>
        <v>0</v>
      </c>
      <c r="M106">
        <f ca="1">IFERROR(IF(0=LEN(ReferenceData!$M$106),"",ReferenceData!$M$106),"")</f>
        <v>0</v>
      </c>
      <c r="N106">
        <f ca="1">IFERROR(IF(0=LEN(ReferenceData!$N$106),"",ReferenceData!$N$106),"")</f>
        <v>71</v>
      </c>
      <c r="O106">
        <f ca="1">IFERROR(IF(0=LEN(ReferenceData!$O$106),"",ReferenceData!$O$106),"")</f>
        <v>70</v>
      </c>
      <c r="P106">
        <f ca="1">IFERROR(IF(0=LEN(ReferenceData!$P$106),"",ReferenceData!$P$106),"")</f>
        <v>70</v>
      </c>
      <c r="Q106">
        <f ca="1">IFERROR(IF(0=LEN(ReferenceData!$Q$106),"",ReferenceData!$Q$106),"")</f>
        <v>69</v>
      </c>
      <c r="R106">
        <f ca="1">IFERROR(IF(0=LEN(ReferenceData!$R$106),"",ReferenceData!$R$106),"")</f>
        <v>69</v>
      </c>
      <c r="S106">
        <f ca="1">IFERROR(IF(0=LEN(ReferenceData!$S$106),"",ReferenceData!$S$106),"")</f>
        <v>69</v>
      </c>
      <c r="T106">
        <f ca="1">IFERROR(IF(0=LEN(ReferenceData!$T$106),"",ReferenceData!$T$106),"")</f>
        <v>95</v>
      </c>
      <c r="U106">
        <f ca="1">IFERROR(IF(0=LEN(ReferenceData!$U$106),"",ReferenceData!$U$106),"")</f>
        <v>93</v>
      </c>
      <c r="V106">
        <f ca="1">IFERROR(IF(0=LEN(ReferenceData!$V$106),"",ReferenceData!$V$106),"")</f>
        <v>81</v>
      </c>
      <c r="W106">
        <f ca="1">IFERROR(IF(0=LEN(ReferenceData!$W$106),"",ReferenceData!$W$106),"")</f>
        <v>145</v>
      </c>
      <c r="X106">
        <f ca="1">IFERROR(IF(0=LEN(ReferenceData!$X$106),"",ReferenceData!$X$106),"")</f>
        <v>127</v>
      </c>
      <c r="Y106">
        <f ca="1">IFERROR(IF(0=LEN(ReferenceData!$Y$106),"",ReferenceData!$Y$106),"")</f>
        <v>116</v>
      </c>
      <c r="Z106">
        <f ca="1">IFERROR(IF(0=LEN(ReferenceData!$Z$106),"",ReferenceData!$Z$106),"")</f>
        <v>214</v>
      </c>
      <c r="AA106">
        <f ca="1">IFERROR(IF(0=LEN(ReferenceData!$AA$106),"",ReferenceData!$AA$106),"")</f>
        <v>214</v>
      </c>
      <c r="AB106">
        <f ca="1">IFERROR(IF(0=LEN(ReferenceData!$AB$106),"",ReferenceData!$AB$106),"")</f>
        <v>215</v>
      </c>
      <c r="AC106">
        <f ca="1">IFERROR(IF(0=LEN(ReferenceData!$AC$106),"",ReferenceData!$AC$106),"")</f>
        <v>488</v>
      </c>
      <c r="AD106">
        <f ca="1">IFERROR(IF(0=LEN(ReferenceData!$AD$106),"",ReferenceData!$AD$106),"")</f>
        <v>501</v>
      </c>
      <c r="AE106">
        <f ca="1">IFERROR(IF(0=LEN(ReferenceData!$AE$106),"",ReferenceData!$AE$106),"")</f>
        <v>438</v>
      </c>
      <c r="AF106">
        <f ca="1">IFERROR(IF(0=LEN(ReferenceData!$AF$106),"",ReferenceData!$AF$106),"")</f>
        <v>359</v>
      </c>
      <c r="AG106">
        <f ca="1">IFERROR(IF(0=LEN(ReferenceData!$AG$106),"",ReferenceData!$AG$106),"")</f>
        <v>266</v>
      </c>
      <c r="AH106">
        <f ca="1">IFERROR(IF(0=LEN(ReferenceData!$AH$106),"",ReferenceData!$AH$106),"")</f>
        <v>259</v>
      </c>
      <c r="AI106">
        <f ca="1">IFERROR(IF(0=LEN(ReferenceData!$AI$106),"",ReferenceData!$AI$106),"")</f>
        <v>533</v>
      </c>
      <c r="AJ106">
        <f ca="1">IFERROR(IF(0=LEN(ReferenceData!$AJ$106),"",ReferenceData!$AJ$106),"")</f>
        <v>488</v>
      </c>
      <c r="AK106">
        <f ca="1">IFERROR(IF(0=LEN(ReferenceData!$AK$106),"",ReferenceData!$AK$106),"")</f>
        <v>461</v>
      </c>
      <c r="AL106">
        <f ca="1">IFERROR(IF(0=LEN(ReferenceData!$AL$106),"",ReferenceData!$AL$106),"")</f>
        <v>422</v>
      </c>
      <c r="AM106">
        <f ca="1">IFERROR(IF(0=LEN(ReferenceData!$AM$106),"",ReferenceData!$AM$106),"")</f>
        <v>35</v>
      </c>
      <c r="AN106">
        <f ca="1">IFERROR(IF(0=LEN(ReferenceData!$AN$106),"",ReferenceData!$AN$106),"")</f>
        <v>36</v>
      </c>
      <c r="AO106">
        <f ca="1">IFERROR(IF(0=LEN(ReferenceData!$AO$106),"",ReferenceData!$AO$106),"")</f>
        <v>36</v>
      </c>
      <c r="AP106">
        <f ca="1">IFERROR(IF(0=LEN(ReferenceData!$AP$106),"",ReferenceData!$AP$106),"")</f>
        <v>36</v>
      </c>
      <c r="AQ106">
        <f ca="1">IFERROR(IF(0=LEN(ReferenceData!$AQ$106),"",ReferenceData!$AQ$106),"")</f>
        <v>64</v>
      </c>
      <c r="AR106">
        <f ca="1">IFERROR(IF(0=LEN(ReferenceData!$AR$106),"",ReferenceData!$AR$106),"")</f>
        <v>0</v>
      </c>
      <c r="AS106">
        <f ca="1">IFERROR(IF(0=LEN(ReferenceData!$AS$106),"",ReferenceData!$AS$106),"")</f>
        <v>1</v>
      </c>
      <c r="AT106">
        <f ca="1">IFERROR(IF(0=LEN(ReferenceData!$AT$106),"",ReferenceData!$AT$106),"")</f>
        <v>1</v>
      </c>
      <c r="AU106">
        <f ca="1">IFERROR(IF(0=LEN(ReferenceData!$AU$106),"",ReferenceData!$AU$106),"")</f>
        <v>1</v>
      </c>
      <c r="AV106">
        <f ca="1">IFERROR(IF(0=LEN(ReferenceData!$AV$106),"",ReferenceData!$AV$106),"")</f>
        <v>3</v>
      </c>
      <c r="AW106">
        <f ca="1">IFERROR(IF(0=LEN(ReferenceData!$AW$106),"",ReferenceData!$AW$106),"")</f>
        <v>4</v>
      </c>
      <c r="AX106">
        <f ca="1">IFERROR(IF(0=LEN(ReferenceData!$AX$106),"",ReferenceData!$AX$106),"")</f>
        <v>7</v>
      </c>
      <c r="AY106">
        <f ca="1">IFERROR(IF(0=LEN(ReferenceData!$AY$106),"",ReferenceData!$AY$106),"")</f>
        <v>8</v>
      </c>
      <c r="AZ106">
        <f ca="1">IFERROR(IF(0=LEN(ReferenceData!$AZ$106),"",ReferenceData!$AZ$106),"")</f>
        <v>9</v>
      </c>
      <c r="BA106">
        <f ca="1">IFERROR(IF(0=LEN(ReferenceData!$BA$106),"",ReferenceData!$BA$106),"")</f>
        <v>9</v>
      </c>
      <c r="BB106">
        <f ca="1">IFERROR(IF(0=LEN(ReferenceData!$BB$106),"",ReferenceData!$BB$106),"")</f>
        <v>11</v>
      </c>
      <c r="BC106">
        <f ca="1">IFERROR(IF(0=LEN(ReferenceData!$BC$106),"",ReferenceData!$BC$106),"")</f>
        <v>86</v>
      </c>
      <c r="BD106">
        <f ca="1">IFERROR(IF(0=LEN(ReferenceData!$BD$106),"",ReferenceData!$BD$106),"")</f>
        <v>104</v>
      </c>
      <c r="BE106">
        <f ca="1">IFERROR(IF(0=LEN(ReferenceData!$BE$106),"",ReferenceData!$BE$106),"")</f>
        <v>106</v>
      </c>
      <c r="BF106">
        <f ca="1">IFERROR(IF(0=LEN(ReferenceData!$BF$106),"",ReferenceData!$BF$106),"")</f>
        <v>100</v>
      </c>
      <c r="BG106">
        <f ca="1">IFERROR(IF(0=LEN(ReferenceData!$BG$106),"",ReferenceData!$BG$106),"")</f>
        <v>113</v>
      </c>
      <c r="BH106">
        <f ca="1">IFERROR(IF(0=LEN(ReferenceData!$BH$106),"",ReferenceData!$BH$106),"")</f>
        <v>112</v>
      </c>
      <c r="BI106">
        <f ca="1">IFERROR(IF(0=LEN(ReferenceData!$BI$106),"",ReferenceData!$BI$106),"")</f>
        <v>116</v>
      </c>
      <c r="BJ106">
        <f ca="1">IFERROR(IF(0=LEN(ReferenceData!$BJ$106),"",ReferenceData!$BJ$106),"")</f>
        <v>118</v>
      </c>
      <c r="BK106">
        <f ca="1">IFERROR(IF(0=LEN(ReferenceData!$BK$106),"",ReferenceData!$BK$106),"")</f>
        <v>122</v>
      </c>
      <c r="BL106">
        <f ca="1">IFERROR(IF(0=LEN(ReferenceData!$BL$106),"",ReferenceData!$BL$106),"")</f>
        <v>120</v>
      </c>
      <c r="BM106" t="str">
        <f ca="1">IFERROR(IF(0=LEN(ReferenceData!$BM$106),"",ReferenceData!$BM$106),"")</f>
        <v/>
      </c>
    </row>
    <row r="107" spans="1:65" x14ac:dyDescent="0.25">
      <c r="A107" t="str">
        <f>IFERROR(IF(0=LEN(ReferenceData!$A$107),"",ReferenceData!$A$107),"")</f>
        <v xml:space="preserve">            Western Alliance Bancorp</v>
      </c>
      <c r="B107" t="str">
        <f>IFERROR(IF(0=LEN(ReferenceData!$B$107),"",ReferenceData!$B$107),"")</f>
        <v>WAL US Equity</v>
      </c>
      <c r="C107" t="str">
        <f>IFERROR(IF(0=LEN(ReferenceData!$C$107),"",ReferenceData!$C$107),"")</f>
        <v>FR531</v>
      </c>
      <c r="D107" t="str">
        <f>IFERROR(IF(0=LEN(ReferenceData!$D$107),"",ReferenceData!$D$107),"")</f>
        <v>FED_INVT_IN_RE_VENTURES</v>
      </c>
      <c r="E107" t="str">
        <f>IFERROR(IF(0=LEN(ReferenceData!$E$107),"",ReferenceData!$E$107),"")</f>
        <v>Dynamic</v>
      </c>
      <c r="F107">
        <f ca="1">IFERROR(IF(0=LEN(ReferenceData!$F$107),"",ReferenceData!$F$107),"")</f>
        <v>574.505</v>
      </c>
      <c r="G107">
        <f ca="1">IFERROR(IF(0=LEN(ReferenceData!$G$107),"",ReferenceData!$G$107),"")</f>
        <v>521.03099999999995</v>
      </c>
      <c r="H107">
        <f ca="1">IFERROR(IF(0=LEN(ReferenceData!$H$107),"",ReferenceData!$H$107),"")</f>
        <v>509.49400000000003</v>
      </c>
      <c r="I107">
        <f ca="1">IFERROR(IF(0=LEN(ReferenceData!$I$107),"",ReferenceData!$I$107),"")</f>
        <v>523.25</v>
      </c>
      <c r="J107">
        <f ca="1">IFERROR(IF(0=LEN(ReferenceData!$J$107),"",ReferenceData!$J$107),"")</f>
        <v>541.83199999999999</v>
      </c>
      <c r="K107">
        <f ca="1">IFERROR(IF(0=LEN(ReferenceData!$K$107),"",ReferenceData!$K$107),"")</f>
        <v>522.52099999999996</v>
      </c>
      <c r="L107">
        <f ca="1">IFERROR(IF(0=LEN(ReferenceData!$L$107),"",ReferenceData!$L$107),"")</f>
        <v>550.42499999999995</v>
      </c>
      <c r="M107">
        <f ca="1">IFERROR(IF(0=LEN(ReferenceData!$M$107),"",ReferenceData!$M$107),"")</f>
        <v>578.19299999999998</v>
      </c>
      <c r="N107">
        <f ca="1">IFERROR(IF(0=LEN(ReferenceData!$N$107),"",ReferenceData!$N$107),"")</f>
        <v>589.22</v>
      </c>
      <c r="O107">
        <f ca="1">IFERROR(IF(0=LEN(ReferenceData!$O$107),"",ReferenceData!$O$107),"")</f>
        <v>607.34100000000001</v>
      </c>
      <c r="P107">
        <f ca="1">IFERROR(IF(0=LEN(ReferenceData!$P$107),"",ReferenceData!$P$107),"")</f>
        <v>587.17399999999998</v>
      </c>
      <c r="Q107">
        <f ca="1">IFERROR(IF(0=LEN(ReferenceData!$Q$107),"",ReferenceData!$Q$107),"")</f>
        <v>601.39700000000005</v>
      </c>
      <c r="R107">
        <f ca="1">IFERROR(IF(0=LEN(ReferenceData!$R$107),"",ReferenceData!$R$107),"")</f>
        <v>540.07100000000003</v>
      </c>
      <c r="S107">
        <f ca="1">IFERROR(IF(0=LEN(ReferenceData!$S$107),"",ReferenceData!$S$107),"")</f>
        <v>478.27100000000002</v>
      </c>
      <c r="T107">
        <f ca="1">IFERROR(IF(0=LEN(ReferenceData!$T$107),"",ReferenceData!$T$107),"")</f>
        <v>457.32400000000001</v>
      </c>
      <c r="U107">
        <f ca="1">IFERROR(IF(0=LEN(ReferenceData!$U$107),"",ReferenceData!$U$107),"")</f>
        <v>465.60899999999998</v>
      </c>
      <c r="V107">
        <f ca="1">IFERROR(IF(0=LEN(ReferenceData!$V$107),"",ReferenceData!$V$107),"")</f>
        <v>381.39</v>
      </c>
      <c r="W107">
        <f ca="1">IFERROR(IF(0=LEN(ReferenceData!$W$107),"",ReferenceData!$W$107),"")</f>
        <v>377.00900000000001</v>
      </c>
      <c r="X107">
        <f ca="1">IFERROR(IF(0=LEN(ReferenceData!$X$107),"",ReferenceData!$X$107),"")</f>
        <v>391.54399999999998</v>
      </c>
      <c r="Y107">
        <f ca="1">IFERROR(IF(0=LEN(ReferenceData!$Y$107),"",ReferenceData!$Y$107),"")</f>
        <v>380.63299999999998</v>
      </c>
      <c r="Z107">
        <f ca="1">IFERROR(IF(0=LEN(ReferenceData!$Z$107),"",ReferenceData!$Z$107),"")</f>
        <v>388.07400000000001</v>
      </c>
      <c r="AA107">
        <f ca="1">IFERROR(IF(0=LEN(ReferenceData!$AA$107),"",ReferenceData!$AA$107),"")</f>
        <v>338.565</v>
      </c>
      <c r="AB107">
        <f ca="1">IFERROR(IF(0=LEN(ReferenceData!$AB$107),"",ReferenceData!$AB$107),"")</f>
        <v>321.21199999999999</v>
      </c>
      <c r="AC107">
        <f ca="1">IFERROR(IF(0=LEN(ReferenceData!$AC$107),"",ReferenceData!$AC$107),"")</f>
        <v>332.09100000000001</v>
      </c>
      <c r="AD107">
        <f ca="1">IFERROR(IF(0=LEN(ReferenceData!$AD$107),"",ReferenceData!$AD$107),"")</f>
        <v>342.38200000000001</v>
      </c>
      <c r="AE107">
        <f ca="1">IFERROR(IF(0=LEN(ReferenceData!$AE$107),"",ReferenceData!$AE$107),"")</f>
        <v>295.19900000000001</v>
      </c>
      <c r="AF107">
        <f ca="1">IFERROR(IF(0=LEN(ReferenceData!$AF$107),"",ReferenceData!$AF$107),"")</f>
        <v>304.13600000000002</v>
      </c>
      <c r="AG107">
        <f ca="1">IFERROR(IF(0=LEN(ReferenceData!$AG$107),"",ReferenceData!$AG$107),"")</f>
        <v>288.911</v>
      </c>
      <c r="AH107">
        <f ca="1">IFERROR(IF(0=LEN(ReferenceData!$AH$107),"",ReferenceData!$AH$107),"")</f>
        <v>267.02300000000002</v>
      </c>
      <c r="AI107">
        <f ca="1">IFERROR(IF(0=LEN(ReferenceData!$AI$107),"",ReferenceData!$AI$107),"")</f>
        <v>252.94800000000001</v>
      </c>
      <c r="AJ107">
        <f ca="1">IFERROR(IF(0=LEN(ReferenceData!$AJ$107),"",ReferenceData!$AJ$107),"")</f>
        <v>234.6</v>
      </c>
      <c r="AK107">
        <f ca="1">IFERROR(IF(0=LEN(ReferenceData!$AK$107),"",ReferenceData!$AK$107),"")</f>
        <v>206.44800000000001</v>
      </c>
      <c r="AL107">
        <f ca="1">IFERROR(IF(0=LEN(ReferenceData!$AL$107),"",ReferenceData!$AL$107),"")</f>
        <v>187.37799999999999</v>
      </c>
      <c r="AM107">
        <f ca="1">IFERROR(IF(0=LEN(ReferenceData!$AM$107),"",ReferenceData!$AM$107),"")</f>
        <v>166.148</v>
      </c>
      <c r="AN107">
        <f ca="1">IFERROR(IF(0=LEN(ReferenceData!$AN$107),"",ReferenceData!$AN$107),"")</f>
        <v>171.661</v>
      </c>
      <c r="AO107">
        <f ca="1">IFERROR(IF(0=LEN(ReferenceData!$AO$107),"",ReferenceData!$AO$107),"")</f>
        <v>175.55099999999999</v>
      </c>
      <c r="AP107">
        <f ca="1">IFERROR(IF(0=LEN(ReferenceData!$AP$107),"",ReferenceData!$AP$107),"")</f>
        <v>152.715</v>
      </c>
      <c r="AQ107">
        <f ca="1">IFERROR(IF(0=LEN(ReferenceData!$AQ$107),"",ReferenceData!$AQ$107),"")</f>
        <v>121.78</v>
      </c>
      <c r="AR107">
        <f ca="1">IFERROR(IF(0=LEN(ReferenceData!$AR$107),"",ReferenceData!$AR$107),"")</f>
        <v>126.85299999999999</v>
      </c>
      <c r="AS107">
        <f ca="1">IFERROR(IF(0=LEN(ReferenceData!$AS$107),"",ReferenceData!$AS$107),"")</f>
        <v>123.205</v>
      </c>
      <c r="AT107">
        <f ca="1">IFERROR(IF(0=LEN(ReferenceData!$AT$107),"",ReferenceData!$AT$107),"")</f>
        <v>0</v>
      </c>
      <c r="AU107">
        <f ca="1">IFERROR(IF(0=LEN(ReferenceData!$AU$107),"",ReferenceData!$AU$107),"")</f>
        <v>0</v>
      </c>
      <c r="AV107">
        <f ca="1">IFERROR(IF(0=LEN(ReferenceData!$AV$107),"",ReferenceData!$AV$107),"")</f>
        <v>1.135</v>
      </c>
      <c r="AW107">
        <f ca="1">IFERROR(IF(0=LEN(ReferenceData!$AW$107),"",ReferenceData!$AW$107),"")</f>
        <v>1.135</v>
      </c>
      <c r="AX107">
        <f ca="1">IFERROR(IF(0=LEN(ReferenceData!$AX$107),"",ReferenceData!$AX$107),"")</f>
        <v>1.802</v>
      </c>
      <c r="AY107">
        <f ca="1">IFERROR(IF(0=LEN(ReferenceData!$AY$107),"",ReferenceData!$AY$107),"")</f>
        <v>1.135</v>
      </c>
      <c r="AZ107">
        <f ca="1">IFERROR(IF(0=LEN(ReferenceData!$AZ$107),"",ReferenceData!$AZ$107),"")</f>
        <v>1.802</v>
      </c>
      <c r="BA107">
        <f ca="1">IFERROR(IF(0=LEN(ReferenceData!$BA$107),"",ReferenceData!$BA$107),"")</f>
        <v>1.135</v>
      </c>
      <c r="BB107">
        <f ca="1">IFERROR(IF(0=LEN(ReferenceData!$BB$107),"",ReferenceData!$BB$107),"")</f>
        <v>1.135</v>
      </c>
      <c r="BC107">
        <f ca="1">IFERROR(IF(0=LEN(ReferenceData!$BC$107),"",ReferenceData!$BC$107),"")</f>
        <v>1.135</v>
      </c>
      <c r="BD107">
        <f ca="1">IFERROR(IF(0=LEN(ReferenceData!$BD$107),"",ReferenceData!$BD$107),"")</f>
        <v>1.135</v>
      </c>
      <c r="BE107">
        <f ca="1">IFERROR(IF(0=LEN(ReferenceData!$BE$107),"",ReferenceData!$BE$107),"")</f>
        <v>1.135</v>
      </c>
      <c r="BF107">
        <f ca="1">IFERROR(IF(0=LEN(ReferenceData!$BF$107),"",ReferenceData!$BF$107),"")</f>
        <v>1.135</v>
      </c>
      <c r="BG107">
        <f ca="1">IFERROR(IF(0=LEN(ReferenceData!$BG$107),"",ReferenceData!$BG$107),"")</f>
        <v>1.135</v>
      </c>
      <c r="BH107">
        <f ca="1">IFERROR(IF(0=LEN(ReferenceData!$BH$107),"",ReferenceData!$BH$107),"")</f>
        <v>1.135</v>
      </c>
      <c r="BI107">
        <f ca="1">IFERROR(IF(0=LEN(ReferenceData!$BI$107),"",ReferenceData!$BI$107),"")</f>
        <v>1.135</v>
      </c>
      <c r="BJ107">
        <f ca="1">IFERROR(IF(0=LEN(ReferenceData!$BJ$107),"",ReferenceData!$BJ$107),"")</f>
        <v>1.135</v>
      </c>
      <c r="BK107">
        <f ca="1">IFERROR(IF(0=LEN(ReferenceData!$BK$107),"",ReferenceData!$BK$107),"")</f>
        <v>1.135</v>
      </c>
      <c r="BL107">
        <f ca="1">IFERROR(IF(0=LEN(ReferenceData!$BL$107),"",ReferenceData!$BL$107),"")</f>
        <v>1.135</v>
      </c>
      <c r="BM107" t="str">
        <f ca="1">IFERROR(IF(0=LEN(ReferenceData!$BM$107),"",ReferenceData!$BM$107),"")</f>
        <v/>
      </c>
    </row>
    <row r="108" spans="1:65" x14ac:dyDescent="0.25">
      <c r="A108" t="str">
        <f>IFERROR(IF(0=LEN(ReferenceData!$A$108),"",ReferenceData!$A$108),"")</f>
        <v xml:space="preserve">            Zions Bancorp NA</v>
      </c>
      <c r="B108" t="str">
        <f>IFERROR(IF(0=LEN(ReferenceData!$B$108),"",ReferenceData!$B$108),"")</f>
        <v>ZION US Equity</v>
      </c>
      <c r="C108" t="str">
        <f>IFERROR(IF(0=LEN(ReferenceData!$C$108),"",ReferenceData!$C$108),"")</f>
        <v>FR531</v>
      </c>
      <c r="D108" t="str">
        <f>IFERROR(IF(0=LEN(ReferenceData!$D$108),"",ReferenceData!$D$108),"")</f>
        <v>FED_INVT_IN_RE_VENTURES</v>
      </c>
      <c r="E108" t="str">
        <f>IFERROR(IF(0=LEN(ReferenceData!$E$108),"",ReferenceData!$E$108),"")</f>
        <v>Dynamic</v>
      </c>
      <c r="F108" t="str">
        <f ca="1">IFERROR(IF(0=LEN(ReferenceData!$F$108),"",ReferenceData!$F$108),"")</f>
        <v/>
      </c>
      <c r="G108" t="str">
        <f ca="1">IFERROR(IF(0=LEN(ReferenceData!$G$108),"",ReferenceData!$G$108),"")</f>
        <v/>
      </c>
      <c r="H108" t="str">
        <f ca="1">IFERROR(IF(0=LEN(ReferenceData!$H$108),"",ReferenceData!$H$108),"")</f>
        <v/>
      </c>
      <c r="I108" t="str">
        <f ca="1">IFERROR(IF(0=LEN(ReferenceData!$I$108),"",ReferenceData!$I$108),"")</f>
        <v/>
      </c>
      <c r="J108" t="str">
        <f ca="1">IFERROR(IF(0=LEN(ReferenceData!$J$108),"",ReferenceData!$J$108),"")</f>
        <v/>
      </c>
      <c r="K108" t="str">
        <f ca="1">IFERROR(IF(0=LEN(ReferenceData!$K$108),"",ReferenceData!$K$108),"")</f>
        <v/>
      </c>
      <c r="L108" t="str">
        <f ca="1">IFERROR(IF(0=LEN(ReferenceData!$L$108),"",ReferenceData!$L$108),"")</f>
        <v/>
      </c>
      <c r="M108" t="str">
        <f ca="1">IFERROR(IF(0=LEN(ReferenceData!$M$108),"",ReferenceData!$M$108),"")</f>
        <v/>
      </c>
      <c r="N108" t="str">
        <f ca="1">IFERROR(IF(0=LEN(ReferenceData!$N$108),"",ReferenceData!$N$108),"")</f>
        <v/>
      </c>
      <c r="O108" t="str">
        <f ca="1">IFERROR(IF(0=LEN(ReferenceData!$O$108),"",ReferenceData!$O$108),"")</f>
        <v/>
      </c>
      <c r="P108" t="str">
        <f ca="1">IFERROR(IF(0=LEN(ReferenceData!$P$108),"",ReferenceData!$P$108),"")</f>
        <v/>
      </c>
      <c r="Q108" t="str">
        <f ca="1">IFERROR(IF(0=LEN(ReferenceData!$Q$108),"",ReferenceData!$Q$108),"")</f>
        <v/>
      </c>
      <c r="R108" t="str">
        <f ca="1">IFERROR(IF(0=LEN(ReferenceData!$R$108),"",ReferenceData!$R$108),"")</f>
        <v/>
      </c>
      <c r="S108" t="str">
        <f ca="1">IFERROR(IF(0=LEN(ReferenceData!$S$108),"",ReferenceData!$S$108),"")</f>
        <v/>
      </c>
      <c r="T108" t="str">
        <f ca="1">IFERROR(IF(0=LEN(ReferenceData!$T$108),"",ReferenceData!$T$108),"")</f>
        <v/>
      </c>
      <c r="U108" t="str">
        <f ca="1">IFERROR(IF(0=LEN(ReferenceData!$U$108),"",ReferenceData!$U$108),"")</f>
        <v/>
      </c>
      <c r="V108" t="str">
        <f ca="1">IFERROR(IF(0=LEN(ReferenceData!$V$108),"",ReferenceData!$V$108),"")</f>
        <v/>
      </c>
      <c r="W108" t="str">
        <f ca="1">IFERROR(IF(0=LEN(ReferenceData!$W$108),"",ReferenceData!$W$108),"")</f>
        <v/>
      </c>
      <c r="X108" t="str">
        <f ca="1">IFERROR(IF(0=LEN(ReferenceData!$X$108),"",ReferenceData!$X$108),"")</f>
        <v/>
      </c>
      <c r="Y108" t="str">
        <f ca="1">IFERROR(IF(0=LEN(ReferenceData!$Y$108),"",ReferenceData!$Y$108),"")</f>
        <v/>
      </c>
      <c r="Z108" t="str">
        <f ca="1">IFERROR(IF(0=LEN(ReferenceData!$Z$108),"",ReferenceData!$Z$108),"")</f>
        <v/>
      </c>
      <c r="AA108" t="str">
        <f ca="1">IFERROR(IF(0=LEN(ReferenceData!$AA$108),"",ReferenceData!$AA$108),"")</f>
        <v/>
      </c>
      <c r="AB108" t="str">
        <f ca="1">IFERROR(IF(0=LEN(ReferenceData!$AB$108),"",ReferenceData!$AB$108),"")</f>
        <v/>
      </c>
      <c r="AC108" t="str">
        <f ca="1">IFERROR(IF(0=LEN(ReferenceData!$AC$108),"",ReferenceData!$AC$108),"")</f>
        <v/>
      </c>
      <c r="AD108" t="str">
        <f ca="1">IFERROR(IF(0=LEN(ReferenceData!$AD$108),"",ReferenceData!$AD$108),"")</f>
        <v/>
      </c>
      <c r="AE108" t="str">
        <f ca="1">IFERROR(IF(0=LEN(ReferenceData!$AE$108),"",ReferenceData!$AE$108),"")</f>
        <v/>
      </c>
      <c r="AF108" t="str">
        <f ca="1">IFERROR(IF(0=LEN(ReferenceData!$AF$108),"",ReferenceData!$AF$108),"")</f>
        <v/>
      </c>
      <c r="AG108" t="str">
        <f ca="1">IFERROR(IF(0=LEN(ReferenceData!$AG$108),"",ReferenceData!$AG$108),"")</f>
        <v/>
      </c>
      <c r="AH108" t="str">
        <f ca="1">IFERROR(IF(0=LEN(ReferenceData!$AH$108),"",ReferenceData!$AH$108),"")</f>
        <v/>
      </c>
      <c r="AI108" t="str">
        <f ca="1">IFERROR(IF(0=LEN(ReferenceData!$AI$108),"",ReferenceData!$AI$108),"")</f>
        <v/>
      </c>
      <c r="AJ108" t="str">
        <f ca="1">IFERROR(IF(0=LEN(ReferenceData!$AJ$108),"",ReferenceData!$AJ$108),"")</f>
        <v/>
      </c>
      <c r="AK108" t="str">
        <f ca="1">IFERROR(IF(0=LEN(ReferenceData!$AK$108),"",ReferenceData!$AK$108),"")</f>
        <v/>
      </c>
      <c r="AL108" t="str">
        <f ca="1">IFERROR(IF(0=LEN(ReferenceData!$AL$108),"",ReferenceData!$AL$108),"")</f>
        <v/>
      </c>
      <c r="AM108" t="str">
        <f ca="1">IFERROR(IF(0=LEN(ReferenceData!$AM$108),"",ReferenceData!$AM$108),"")</f>
        <v/>
      </c>
      <c r="AN108" t="str">
        <f ca="1">IFERROR(IF(0=LEN(ReferenceData!$AN$108),"",ReferenceData!$AN$108),"")</f>
        <v/>
      </c>
      <c r="AO108" t="str">
        <f ca="1">IFERROR(IF(0=LEN(ReferenceData!$AO$108),"",ReferenceData!$AO$108),"")</f>
        <v/>
      </c>
      <c r="AP108" t="str">
        <f ca="1">IFERROR(IF(0=LEN(ReferenceData!$AP$108),"",ReferenceData!$AP$108),"")</f>
        <v/>
      </c>
      <c r="AQ108" t="str">
        <f ca="1">IFERROR(IF(0=LEN(ReferenceData!$AQ$108),"",ReferenceData!$AQ$108),"")</f>
        <v/>
      </c>
      <c r="AR108" t="str">
        <f ca="1">IFERROR(IF(0=LEN(ReferenceData!$AR$108),"",ReferenceData!$AR$108),"")</f>
        <v/>
      </c>
      <c r="AS108" t="str">
        <f ca="1">IFERROR(IF(0=LEN(ReferenceData!$AS$108),"",ReferenceData!$AS$108),"")</f>
        <v/>
      </c>
      <c r="AT108" t="str">
        <f ca="1">IFERROR(IF(0=LEN(ReferenceData!$AT$108),"",ReferenceData!$AT$108),"")</f>
        <v/>
      </c>
      <c r="AU108" t="str">
        <f ca="1">IFERROR(IF(0=LEN(ReferenceData!$AU$108),"",ReferenceData!$AU$108),"")</f>
        <v/>
      </c>
      <c r="AV108" t="str">
        <f ca="1">IFERROR(IF(0=LEN(ReferenceData!$AV$108),"",ReferenceData!$AV$108),"")</f>
        <v/>
      </c>
      <c r="AW108" t="str">
        <f ca="1">IFERROR(IF(0=LEN(ReferenceData!$AW$108),"",ReferenceData!$AW$108),"")</f>
        <v/>
      </c>
      <c r="AX108" t="str">
        <f ca="1">IFERROR(IF(0=LEN(ReferenceData!$AX$108),"",ReferenceData!$AX$108),"")</f>
        <v/>
      </c>
      <c r="AY108" t="str">
        <f ca="1">IFERROR(IF(0=LEN(ReferenceData!$AY$108),"",ReferenceData!$AY$108),"")</f>
        <v/>
      </c>
      <c r="AZ108" t="str">
        <f ca="1">IFERROR(IF(0=LEN(ReferenceData!$AZ$108),"",ReferenceData!$AZ$108),"")</f>
        <v/>
      </c>
      <c r="BA108" t="str">
        <f ca="1">IFERROR(IF(0=LEN(ReferenceData!$BA$108),"",ReferenceData!$BA$108),"")</f>
        <v/>
      </c>
      <c r="BB108" t="str">
        <f ca="1">IFERROR(IF(0=LEN(ReferenceData!$BB$108),"",ReferenceData!$BB$108),"")</f>
        <v/>
      </c>
      <c r="BC108" t="str">
        <f ca="1">IFERROR(IF(0=LEN(ReferenceData!$BC$108),"",ReferenceData!$BC$108),"")</f>
        <v/>
      </c>
      <c r="BD108" t="str">
        <f ca="1">IFERROR(IF(0=LEN(ReferenceData!$BD$108),"",ReferenceData!$BD$108),"")</f>
        <v/>
      </c>
      <c r="BE108" t="str">
        <f ca="1">IFERROR(IF(0=LEN(ReferenceData!$BE$108),"",ReferenceData!$BE$108),"")</f>
        <v/>
      </c>
      <c r="BF108" t="str">
        <f ca="1">IFERROR(IF(0=LEN(ReferenceData!$BF$108),"",ReferenceData!$BF$108),"")</f>
        <v/>
      </c>
      <c r="BG108" t="str">
        <f ca="1">IFERROR(IF(0=LEN(ReferenceData!$BG$108),"",ReferenceData!$BG$108),"")</f>
        <v/>
      </c>
      <c r="BH108" t="str">
        <f ca="1">IFERROR(IF(0=LEN(ReferenceData!$BH$108),"",ReferenceData!$BH$108),"")</f>
        <v/>
      </c>
      <c r="BI108" t="str">
        <f ca="1">IFERROR(IF(0=LEN(ReferenceData!$BI$108),"",ReferenceData!$BI$108),"")</f>
        <v/>
      </c>
      <c r="BJ108" t="str">
        <f ca="1">IFERROR(IF(0=LEN(ReferenceData!$BJ$108),"",ReferenceData!$BJ$108),"")</f>
        <v/>
      </c>
      <c r="BK108" t="str">
        <f ca="1">IFERROR(IF(0=LEN(ReferenceData!$BK$108),"",ReferenceData!$BK$108),"")</f>
        <v/>
      </c>
      <c r="BL108" t="str">
        <f ca="1">IFERROR(IF(0=LEN(ReferenceData!$BL$108),"",ReferenceData!$BL$108),"")</f>
        <v/>
      </c>
      <c r="BM108" t="str">
        <f ca="1">IFERROR(IF(0=LEN(ReferenceData!$BM$108),"",ReferenceData!$BM$108),"")</f>
        <v/>
      </c>
    </row>
    <row r="109" spans="1:65" x14ac:dyDescent="0.25">
      <c r="A109" t="str">
        <f>IFERROR(IF(0=LEN(ReferenceData!$A$109),"",ReferenceData!$A$109),"")</f>
        <v>Balance Sheet - Assets - Total Assets By Company</v>
      </c>
      <c r="B109" t="str">
        <f>IFERROR(IF(0=LEN(ReferenceData!$B$109),"",ReferenceData!$B$109),"")</f>
        <v/>
      </c>
      <c r="C109" t="str">
        <f>IFERROR(IF(0=LEN(ReferenceData!$C$109),"",ReferenceData!$C$109),"")</f>
        <v/>
      </c>
      <c r="D109" t="str">
        <f>IFERROR(IF(0=LEN(ReferenceData!$D$109),"",ReferenceData!$D$109),"")</f>
        <v/>
      </c>
      <c r="E109" t="str">
        <f>IFERROR(IF(0=LEN(ReferenceData!$E$109),"",ReferenceData!$E$109),"")</f>
        <v>Sum</v>
      </c>
      <c r="F109">
        <f ca="1">IFERROR(IF(0=LEN(ReferenceData!$F$109),"",ReferenceData!$F$109),"")</f>
        <v>14582067.445</v>
      </c>
      <c r="G109">
        <f ca="1">IFERROR(IF(0=LEN(ReferenceData!$G$109),"",ReferenceData!$G$109),"")</f>
        <v>15192931.455000002</v>
      </c>
      <c r="H109">
        <f ca="1">IFERROR(IF(0=LEN(ReferenceData!$H$109),"",ReferenceData!$H$109),"")</f>
        <v>15823232.166000001</v>
      </c>
      <c r="I109">
        <f ca="1">IFERROR(IF(0=LEN(ReferenceData!$I$109),"",ReferenceData!$I$109),"")</f>
        <v>15854787.420000002</v>
      </c>
      <c r="J109">
        <f ca="1">IFERROR(IF(0=LEN(ReferenceData!$J$109),"",ReferenceData!$J$109),"")</f>
        <v>15455937.979999999</v>
      </c>
      <c r="K109">
        <f ca="1">IFERROR(IF(0=LEN(ReferenceData!$K$109),"",ReferenceData!$K$109),"")</f>
        <v>15382900.509</v>
      </c>
      <c r="L109">
        <f ca="1">IFERROR(IF(0=LEN(ReferenceData!$L$109),"",ReferenceData!$L$109),"")</f>
        <v>15374071.734999999</v>
      </c>
      <c r="M109">
        <f ca="1">IFERROR(IF(0=LEN(ReferenceData!$M$109),"",ReferenceData!$M$109),"")</f>
        <v>15402753.227999998</v>
      </c>
      <c r="N109">
        <f ca="1">IFERROR(IF(0=LEN(ReferenceData!$N$109),"",ReferenceData!$N$109),"")</f>
        <v>14927453.548</v>
      </c>
      <c r="O109">
        <f ca="1">IFERROR(IF(0=LEN(ReferenceData!$O$109),"",ReferenceData!$O$109),"")</f>
        <v>14891745.513999999</v>
      </c>
      <c r="P109">
        <f ca="1">IFERROR(IF(0=LEN(ReferenceData!$P$109),"",ReferenceData!$P$109),"")</f>
        <v>14972081.433</v>
      </c>
      <c r="Q109">
        <f ca="1">IFERROR(IF(0=LEN(ReferenceData!$Q$109),"",ReferenceData!$Q$109),"")</f>
        <v>15182198.181</v>
      </c>
      <c r="R109">
        <f ca="1">IFERROR(IF(0=LEN(ReferenceData!$R$109),"",ReferenceData!$R$109),"")</f>
        <v>14758451.059999999</v>
      </c>
      <c r="S109">
        <f ca="1">IFERROR(IF(0=LEN(ReferenceData!$S$109),"",ReferenceData!$S$109),"")</f>
        <v>14713193.786999999</v>
      </c>
      <c r="T109">
        <f ca="1">IFERROR(IF(0=LEN(ReferenceData!$T$109),"",ReferenceData!$T$109),"")</f>
        <v>14498325.157999998</v>
      </c>
      <c r="U109">
        <f ca="1">IFERROR(IF(0=LEN(ReferenceData!$U$109),"",ReferenceData!$U$109),"")</f>
        <v>14287758.228000002</v>
      </c>
      <c r="V109">
        <f ca="1">IFERROR(IF(0=LEN(ReferenceData!$V$109),"",ReferenceData!$V$109),"")</f>
        <v>13628769.015999999</v>
      </c>
      <c r="W109">
        <f ca="1">IFERROR(IF(0=LEN(ReferenceData!$W$109),"",ReferenceData!$W$109),"")</f>
        <v>13293697.301000001</v>
      </c>
      <c r="X109">
        <f ca="1">IFERROR(IF(0=LEN(ReferenceData!$X$109),"",ReferenceData!$X$109),"")</f>
        <v>13314311.524</v>
      </c>
      <c r="Y109">
        <f ca="1">IFERROR(IF(0=LEN(ReferenceData!$Y$109),"",ReferenceData!$Y$109),"")</f>
        <v>12992795.968000002</v>
      </c>
      <c r="Z109">
        <f ca="1">IFERROR(IF(0=LEN(ReferenceData!$Z$109),"",ReferenceData!$Z$109),"")</f>
        <v>11843951.777000001</v>
      </c>
      <c r="AA109">
        <f ca="1">IFERROR(IF(0=LEN(ReferenceData!$AA$109),"",ReferenceData!$AA$109),"")</f>
        <v>11740994.093</v>
      </c>
      <c r="AB109">
        <f ca="1">IFERROR(IF(0=LEN(ReferenceData!$AB$109),"",ReferenceData!$AB$109),"")</f>
        <v>11593714.780999999</v>
      </c>
      <c r="AC109">
        <f ca="1">IFERROR(IF(0=LEN(ReferenceData!$AC$109),"",ReferenceData!$AC$109),"")</f>
        <v>11483879.949000001</v>
      </c>
      <c r="AD109">
        <f ca="1">IFERROR(IF(0=LEN(ReferenceData!$AD$109),"",ReferenceData!$AD$109),"")</f>
        <v>11262844.914999999</v>
      </c>
      <c r="AE109">
        <f ca="1">IFERROR(IF(0=LEN(ReferenceData!$AE$109),"",ReferenceData!$AE$109),"")</f>
        <v>11189120.515999997</v>
      </c>
      <c r="AF109">
        <f ca="1">IFERROR(IF(0=LEN(ReferenceData!$AF$109),"",ReferenceData!$AF$109),"")</f>
        <v>11103211.761</v>
      </c>
      <c r="AG109">
        <f ca="1">IFERROR(IF(0=LEN(ReferenceData!$AG$109),"",ReferenceData!$AG$109),"")</f>
        <v>11193201.498</v>
      </c>
      <c r="AH109">
        <f ca="1">IFERROR(IF(0=LEN(ReferenceData!$AH$109),"",ReferenceData!$AH$109),"")</f>
        <v>11033276.486000001</v>
      </c>
      <c r="AI109">
        <f ca="1">IFERROR(IF(0=LEN(ReferenceData!$AI$109),"",ReferenceData!$AI$109),"")</f>
        <v>11077060.536</v>
      </c>
      <c r="AJ109">
        <f ca="1">IFERROR(IF(0=LEN(ReferenceData!$AJ$109),"",ReferenceData!$AJ$109),"")</f>
        <v>11008212.080999998</v>
      </c>
      <c r="AK109">
        <f ca="1">IFERROR(IF(0=LEN(ReferenceData!$AK$109),"",ReferenceData!$AK$109),"")</f>
        <v>10941739.223999999</v>
      </c>
      <c r="AL109">
        <f ca="1">IFERROR(IF(0=LEN(ReferenceData!$AL$109),"",ReferenceData!$AL$109),"")</f>
        <v>10777128.691</v>
      </c>
      <c r="AM109">
        <f ca="1">IFERROR(IF(0=LEN(ReferenceData!$AM$109),"",ReferenceData!$AM$109),"")</f>
        <v>10858546.179000001</v>
      </c>
      <c r="AN109">
        <f ca="1">IFERROR(IF(0=LEN(ReferenceData!$AN$109),"",ReferenceData!$AN$109),"")</f>
        <v>10642151.630000003</v>
      </c>
      <c r="AO109">
        <f ca="1">IFERROR(IF(0=LEN(ReferenceData!$AO$109),"",ReferenceData!$AO$109),"")</f>
        <v>10497937.702</v>
      </c>
      <c r="AP109">
        <f ca="1">IFERROR(IF(0=LEN(ReferenceData!$AP$109),"",ReferenceData!$AP$109),"")</f>
        <v>10237997.619000001</v>
      </c>
      <c r="AQ109">
        <f ca="1">IFERROR(IF(0=LEN(ReferenceData!$AQ$109),"",ReferenceData!$AQ$109),"")</f>
        <v>10294688.568</v>
      </c>
      <c r="AR109">
        <f ca="1">IFERROR(IF(0=LEN(ReferenceData!$AR$109),"",ReferenceData!$AR$109),"")</f>
        <v>10279916.689999999</v>
      </c>
      <c r="AS109">
        <f ca="1">IFERROR(IF(0=LEN(ReferenceData!$AS$109),"",ReferenceData!$AS$109),"")</f>
        <v>10399092.23</v>
      </c>
      <c r="AT109">
        <f ca="1">IFERROR(IF(0=LEN(ReferenceData!$AT$109),"",ReferenceData!$AT$109),"")</f>
        <v>10288810.895</v>
      </c>
      <c r="AU109">
        <f ca="1">IFERROR(IF(0=LEN(ReferenceData!$AU$109),"",ReferenceData!$AU$109),"")</f>
        <v>10200996.022</v>
      </c>
      <c r="AV109">
        <f ca="1">IFERROR(IF(0=LEN(ReferenceData!$AV$109),"",ReferenceData!$AV$109),"")</f>
        <v>10206265.545</v>
      </c>
      <c r="AW109">
        <f ca="1">IFERROR(IF(0=LEN(ReferenceData!$AW$109),"",ReferenceData!$AW$109),"")</f>
        <v>10029769.715</v>
      </c>
      <c r="AX109">
        <f ca="1">IFERROR(IF(0=LEN(ReferenceData!$AX$109),"",ReferenceData!$AX$109),"")</f>
        <v>9868264.652999999</v>
      </c>
      <c r="AY109">
        <f ca="1">IFERROR(IF(0=LEN(ReferenceData!$AY$109),"",ReferenceData!$AY$109),"")</f>
        <v>9881296.591</v>
      </c>
      <c r="AZ109">
        <f ca="1">IFERROR(IF(0=LEN(ReferenceData!$AZ$109),"",ReferenceData!$AZ$109),"")</f>
        <v>9777996.7740000002</v>
      </c>
      <c r="BA109">
        <f ca="1">IFERROR(IF(0=LEN(ReferenceData!$BA$109),"",ReferenceData!$BA$109),"")</f>
        <v>9779709.6300000008</v>
      </c>
      <c r="BB109">
        <f ca="1">IFERROR(IF(0=LEN(ReferenceData!$BB$109),"",ReferenceData!$BB$109),"")</f>
        <v>9775558.0699999984</v>
      </c>
      <c r="BC109">
        <f ca="1">IFERROR(IF(0=LEN(ReferenceData!$BC$109),"",ReferenceData!$BC$109),"")</f>
        <v>9686875.137000002</v>
      </c>
      <c r="BD109">
        <f ca="1">IFERROR(IF(0=LEN(ReferenceData!$BD$109),"",ReferenceData!$BD$109),"")</f>
        <v>9582520.9879999999</v>
      </c>
      <c r="BE109">
        <f ca="1">IFERROR(IF(0=LEN(ReferenceData!$BE$109),"",ReferenceData!$BE$109),"")</f>
        <v>9637817.7769999988</v>
      </c>
      <c r="BF109">
        <f ca="1">IFERROR(IF(0=LEN(ReferenceData!$BF$109),"",ReferenceData!$BF$109),"")</f>
        <v>9330152.0469999965</v>
      </c>
      <c r="BG109">
        <f ca="1">IFERROR(IF(0=LEN(ReferenceData!$BG$109),"",ReferenceData!$BG$109),"")</f>
        <v>9468966.7160000019</v>
      </c>
      <c r="BH109">
        <f ca="1">IFERROR(IF(0=LEN(ReferenceData!$BH$109),"",ReferenceData!$BH$109),"")</f>
        <v>9408163.841</v>
      </c>
      <c r="BI109">
        <f ca="1">IFERROR(IF(0=LEN(ReferenceData!$BI$109),"",ReferenceData!$BI$109),"")</f>
        <v>9324763.3129999992</v>
      </c>
      <c r="BJ109">
        <f ca="1">IFERROR(IF(0=LEN(ReferenceData!$BJ$109),"",ReferenceData!$BJ$109),"")</f>
        <v>9214546.8719999995</v>
      </c>
      <c r="BK109">
        <f ca="1">IFERROR(IF(0=LEN(ReferenceData!$BK$109),"",ReferenceData!$BK$109),"")</f>
        <v>9333893.0869999994</v>
      </c>
      <c r="BL109">
        <f ca="1">IFERROR(IF(0=LEN(ReferenceData!$BL$109),"",ReferenceData!$BL$109),"")</f>
        <v>9192421.217000002</v>
      </c>
      <c r="BM109">
        <f ca="1">IFERROR(IF(0=LEN(ReferenceData!$BM$109),"",ReferenceData!$BM$109),"")</f>
        <v>522690.56299999997</v>
      </c>
    </row>
    <row r="110" spans="1:65" x14ac:dyDescent="0.25">
      <c r="A110" t="str">
        <f>IFERROR(IF(0=LEN(ReferenceData!$A$110),"",ReferenceData!$A$110),"")</f>
        <v xml:space="preserve">            Bank of America Corp</v>
      </c>
      <c r="B110" t="str">
        <f>IFERROR(IF(0=LEN(ReferenceData!$B$110),"",ReferenceData!$B$110),"")</f>
        <v>BAC US Equity</v>
      </c>
      <c r="C110" t="str">
        <f>IFERROR(IF(0=LEN(ReferenceData!$C$110),"",ReferenceData!$C$110),"")</f>
        <v>FC001</v>
      </c>
      <c r="D110" t="str">
        <f>IFERROR(IF(0=LEN(ReferenceData!$D$110),"",ReferenceData!$D$110),"")</f>
        <v>FDIC_TOTAL_ASSETS</v>
      </c>
      <c r="E110" t="str">
        <f>IFERROR(IF(0=LEN(ReferenceData!$E$110),"",ReferenceData!$E$110),"")</f>
        <v>Dynamic</v>
      </c>
      <c r="F110">
        <f ca="1">IFERROR(IF(0=LEN(ReferenceData!$F$110),"",ReferenceData!$F$110),"")</f>
        <v>3261789</v>
      </c>
      <c r="G110">
        <f ca="1">IFERROR(IF(0=LEN(ReferenceData!$G$110),"",ReferenceData!$G$110),"")</f>
        <v>3324293</v>
      </c>
      <c r="H110">
        <f ca="1">IFERROR(IF(0=LEN(ReferenceData!$H$110),"",ReferenceData!$H$110),"")</f>
        <v>3257996</v>
      </c>
      <c r="I110">
        <f ca="1">IFERROR(IF(0=LEN(ReferenceData!$I$110),"",ReferenceData!$I$110),"")</f>
        <v>3273803</v>
      </c>
      <c r="J110">
        <f ca="1">IFERROR(IF(0=LEN(ReferenceData!$J$110),"",ReferenceData!$J$110),"")</f>
        <v>3180151</v>
      </c>
      <c r="K110">
        <f ca="1">IFERROR(IF(0=LEN(ReferenceData!$K$110),"",ReferenceData!$K$110),"")</f>
        <v>3153090</v>
      </c>
      <c r="L110">
        <f ca="1">IFERROR(IF(0=LEN(ReferenceData!$L$110),"",ReferenceData!$L$110),"")</f>
        <v>3123198</v>
      </c>
      <c r="M110">
        <f ca="1">IFERROR(IF(0=LEN(ReferenceData!$M$110),"",ReferenceData!$M$110),"")</f>
        <v>3194657</v>
      </c>
      <c r="N110">
        <f ca="1">IFERROR(IF(0=LEN(ReferenceData!$N$110),"",ReferenceData!$N$110),"")</f>
        <v>3051215</v>
      </c>
      <c r="O110">
        <f ca="1">IFERROR(IF(0=LEN(ReferenceData!$O$110),"",ReferenceData!$O$110),"")</f>
        <v>3072953</v>
      </c>
      <c r="P110">
        <f ca="1">IFERROR(IF(0=LEN(ReferenceData!$P$110),"",ReferenceData!$P$110),"")</f>
        <v>3111606</v>
      </c>
      <c r="Q110">
        <f ca="1">IFERROR(IF(0=LEN(ReferenceData!$Q$110),"",ReferenceData!$Q$110),"")</f>
        <v>3238223</v>
      </c>
      <c r="R110">
        <f ca="1">IFERROR(IF(0=LEN(ReferenceData!$R$110),"",ReferenceData!$R$110),"")</f>
        <v>3169495</v>
      </c>
      <c r="S110">
        <f ca="1">IFERROR(IF(0=LEN(ReferenceData!$S$110),"",ReferenceData!$S$110),"")</f>
        <v>3085446</v>
      </c>
      <c r="T110">
        <f ca="1">IFERROR(IF(0=LEN(ReferenceData!$T$110),"",ReferenceData!$T$110),"")</f>
        <v>3029894</v>
      </c>
      <c r="U110">
        <f ca="1">IFERROR(IF(0=LEN(ReferenceData!$U$110),"",ReferenceData!$U$110),"")</f>
        <v>2969992</v>
      </c>
      <c r="V110">
        <f ca="1">IFERROR(IF(0=LEN(ReferenceData!$V$110),"",ReferenceData!$V$110),"")</f>
        <v>2819627</v>
      </c>
      <c r="W110">
        <f ca="1">IFERROR(IF(0=LEN(ReferenceData!$W$110),"",ReferenceData!$W$110),"")</f>
        <v>2738452</v>
      </c>
      <c r="X110">
        <f ca="1">IFERROR(IF(0=LEN(ReferenceData!$X$110),"",ReferenceData!$X$110),"")</f>
        <v>2741688</v>
      </c>
      <c r="Y110">
        <f ca="1">IFERROR(IF(0=LEN(ReferenceData!$Y$110),"",ReferenceData!$Y$110),"")</f>
        <v>2619954</v>
      </c>
      <c r="Z110">
        <f ca="1">IFERROR(IF(0=LEN(ReferenceData!$Z$110),"",ReferenceData!$Z$110),"")</f>
        <v>2434079</v>
      </c>
      <c r="AA110">
        <f ca="1">IFERROR(IF(0=LEN(ReferenceData!$AA$110),"",ReferenceData!$AA$110),"")</f>
        <v>2426330</v>
      </c>
      <c r="AB110">
        <f ca="1">IFERROR(IF(0=LEN(ReferenceData!$AB$110),"",ReferenceData!$AB$110),"")</f>
        <v>2396484</v>
      </c>
      <c r="AC110">
        <f ca="1">IFERROR(IF(0=LEN(ReferenceData!$AC$110),"",ReferenceData!$AC$110),"")</f>
        <v>2377362</v>
      </c>
      <c r="AD110">
        <f ca="1">IFERROR(IF(0=LEN(ReferenceData!$AD$110),"",ReferenceData!$AD$110),"")</f>
        <v>2354980</v>
      </c>
      <c r="AE110">
        <f ca="1">IFERROR(IF(0=LEN(ReferenceData!$AE$110),"",ReferenceData!$AE$110),"")</f>
        <v>2338913</v>
      </c>
      <c r="AF110">
        <f ca="1">IFERROR(IF(0=LEN(ReferenceData!$AF$110),"",ReferenceData!$AF$110),"")</f>
        <v>2291858</v>
      </c>
      <c r="AG110">
        <f ca="1">IFERROR(IF(0=LEN(ReferenceData!$AG$110),"",ReferenceData!$AG$110),"")</f>
        <v>2328754</v>
      </c>
      <c r="AH110">
        <f ca="1">IFERROR(IF(0=LEN(ReferenceData!$AH$110),"",ReferenceData!$AH$110),"")</f>
        <v>2281477</v>
      </c>
      <c r="AI110">
        <f ca="1">IFERROR(IF(0=LEN(ReferenceData!$AI$110),"",ReferenceData!$AI$110),"")</f>
        <v>2285062</v>
      </c>
      <c r="AJ110">
        <f ca="1">IFERROR(IF(0=LEN(ReferenceData!$AJ$110),"",ReferenceData!$AJ$110),"")</f>
        <v>2256095</v>
      </c>
      <c r="AK110">
        <f ca="1">IFERROR(IF(0=LEN(ReferenceData!$AK$110),"",ReferenceData!$AK$110),"")</f>
        <v>2249046</v>
      </c>
      <c r="AL110">
        <f ca="1">IFERROR(IF(0=LEN(ReferenceData!$AL$110),"",ReferenceData!$AL$110),"")</f>
        <v>2189266</v>
      </c>
      <c r="AM110">
        <f ca="1">IFERROR(IF(0=LEN(ReferenceData!$AM$110),"",ReferenceData!$AM$110),"")</f>
        <v>2198884</v>
      </c>
      <c r="AN110">
        <f ca="1">IFERROR(IF(0=LEN(ReferenceData!$AN$110),"",ReferenceData!$AN$110),"")</f>
        <v>2189811</v>
      </c>
      <c r="AO110">
        <f ca="1">IFERROR(IF(0=LEN(ReferenceData!$AO$110),"",ReferenceData!$AO$110),"")</f>
        <v>2188633</v>
      </c>
      <c r="AP110">
        <f ca="1">IFERROR(IF(0=LEN(ReferenceData!$AP$110),"",ReferenceData!$AP$110),"")</f>
        <v>2147391</v>
      </c>
      <c r="AQ110">
        <f ca="1">IFERROR(IF(0=LEN(ReferenceData!$AQ$110),"",ReferenceData!$AQ$110),"")</f>
        <v>2154342</v>
      </c>
      <c r="AR110">
        <f ca="1">IFERROR(IF(0=LEN(ReferenceData!$AR$110),"",ReferenceData!$AR$110),"")</f>
        <v>2152082</v>
      </c>
      <c r="AS110">
        <f ca="1">IFERROR(IF(0=LEN(ReferenceData!$AS$110),"",ReferenceData!$AS$110),"")</f>
        <v>2145027</v>
      </c>
      <c r="AT110">
        <f ca="1">IFERROR(IF(0=LEN(ReferenceData!$AT$110),"",ReferenceData!$AT$110),"")</f>
        <v>2106796</v>
      </c>
      <c r="AU110">
        <f ca="1">IFERROR(IF(0=LEN(ReferenceData!$AU$110),"",ReferenceData!$AU$110),"")</f>
        <v>2126138</v>
      </c>
      <c r="AV110">
        <f ca="1">IFERROR(IF(0=LEN(ReferenceData!$AV$110),"",ReferenceData!$AV$110),"")</f>
        <v>2172001</v>
      </c>
      <c r="AW110">
        <f ca="1">IFERROR(IF(0=LEN(ReferenceData!$AW$110),"",ReferenceData!$AW$110),"")</f>
        <v>2152533</v>
      </c>
      <c r="AX110">
        <f ca="1">IFERROR(IF(0=LEN(ReferenceData!$AX$110),"",ReferenceData!$AX$110),"")</f>
        <v>2104995</v>
      </c>
      <c r="AY110">
        <f ca="1">IFERROR(IF(0=LEN(ReferenceData!$AY$110),"",ReferenceData!$AY$110),"")</f>
        <v>2128706</v>
      </c>
      <c r="AZ110">
        <f ca="1">IFERROR(IF(0=LEN(ReferenceData!$AZ$110),"",ReferenceData!$AZ$110),"")</f>
        <v>2125686</v>
      </c>
      <c r="BA110">
        <f ca="1">IFERROR(IF(0=LEN(ReferenceData!$BA$110),"",ReferenceData!$BA$110),"")</f>
        <v>2176625</v>
      </c>
      <c r="BB110">
        <f ca="1">IFERROR(IF(0=LEN(ReferenceData!$BB$110),"",ReferenceData!$BB$110),"")</f>
        <v>2212004.452</v>
      </c>
      <c r="BC110">
        <f ca="1">IFERROR(IF(0=LEN(ReferenceData!$BC$110),"",ReferenceData!$BC$110),"")</f>
        <v>2168023.105</v>
      </c>
      <c r="BD110">
        <f ca="1">IFERROR(IF(0=LEN(ReferenceData!$BD$110),"",ReferenceData!$BD$110),"")</f>
        <v>2162083.3960000002</v>
      </c>
      <c r="BE110">
        <f ca="1">IFERROR(IF(0=LEN(ReferenceData!$BE$110),"",ReferenceData!$BE$110),"")</f>
        <v>2180055.682</v>
      </c>
      <c r="BF110">
        <f ca="1">IFERROR(IF(0=LEN(ReferenceData!$BF$110),"",ReferenceData!$BF$110),"")</f>
        <v>2136577.9070000001</v>
      </c>
      <c r="BG110">
        <f ca="1">IFERROR(IF(0=LEN(ReferenceData!$BG$110),"",ReferenceData!$BG$110),"")</f>
        <v>2221386.5759999999</v>
      </c>
      <c r="BH110">
        <f ca="1">IFERROR(IF(0=LEN(ReferenceData!$BH$110),"",ReferenceData!$BH$110),"")</f>
        <v>2264435.8369999998</v>
      </c>
      <c r="BI110">
        <f ca="1">IFERROR(IF(0=LEN(ReferenceData!$BI$110),"",ReferenceData!$BI$110),"")</f>
        <v>2276418.25</v>
      </c>
      <c r="BJ110">
        <f ca="1">IFERROR(IF(0=LEN(ReferenceData!$BJ$110),"",ReferenceData!$BJ$110),"")</f>
        <v>2268347.3769999999</v>
      </c>
      <c r="BK110">
        <f ca="1">IFERROR(IF(0=LEN(ReferenceData!$BK$110),"",ReferenceData!$BK$110),"")</f>
        <v>2341160.426</v>
      </c>
      <c r="BL110">
        <f ca="1">IFERROR(IF(0=LEN(ReferenceData!$BL$110),"",ReferenceData!$BL$110),"")</f>
        <v>2370594.2349999999</v>
      </c>
      <c r="BM110" t="str">
        <f ca="1">IFERROR(IF(0=LEN(ReferenceData!$BM$110),"",ReferenceData!$BM$110),"")</f>
        <v/>
      </c>
    </row>
    <row r="111" spans="1:65" x14ac:dyDescent="0.25">
      <c r="A111" t="str">
        <f>IFERROR(IF(0=LEN(ReferenceData!$A$111),"",ReferenceData!$A$111),"")</f>
        <v xml:space="preserve">            Citigroup Inc</v>
      </c>
      <c r="B111" t="str">
        <f>IFERROR(IF(0=LEN(ReferenceData!$B$111),"",ReferenceData!$B$111),"")</f>
        <v>C US Equity</v>
      </c>
      <c r="C111" t="str">
        <f>IFERROR(IF(0=LEN(ReferenceData!$C$111),"",ReferenceData!$C$111),"")</f>
        <v>FC001</v>
      </c>
      <c r="D111" t="str">
        <f>IFERROR(IF(0=LEN(ReferenceData!$D$111),"",ReferenceData!$D$111),"")</f>
        <v>FDIC_TOTAL_ASSETS</v>
      </c>
      <c r="E111" t="str">
        <f>IFERROR(IF(0=LEN(ReferenceData!$E$111),"",ReferenceData!$E$111),"")</f>
        <v>Dynamic</v>
      </c>
      <c r="F111">
        <f ca="1">IFERROR(IF(0=LEN(ReferenceData!$F$111),"",ReferenceData!$F$111),"")</f>
        <v>2352945</v>
      </c>
      <c r="G111">
        <f ca="1">IFERROR(IF(0=LEN(ReferenceData!$G$111),"",ReferenceData!$G$111),"")</f>
        <v>2430663</v>
      </c>
      <c r="H111">
        <f ca="1">IFERROR(IF(0=LEN(ReferenceData!$H$111),"",ReferenceData!$H$111),"")</f>
        <v>2405686</v>
      </c>
      <c r="I111">
        <f ca="1">IFERROR(IF(0=LEN(ReferenceData!$I$111),"",ReferenceData!$I$111),"")</f>
        <v>2432510</v>
      </c>
      <c r="J111">
        <f ca="1">IFERROR(IF(0=LEN(ReferenceData!$J$111),"",ReferenceData!$J$111),"")</f>
        <v>2411834</v>
      </c>
      <c r="K111">
        <f ca="1">IFERROR(IF(0=LEN(ReferenceData!$K$111),"",ReferenceData!$K$111),"")</f>
        <v>2368477</v>
      </c>
      <c r="L111">
        <f ca="1">IFERROR(IF(0=LEN(ReferenceData!$L$111),"",ReferenceData!$L$111),"")</f>
        <v>2423675</v>
      </c>
      <c r="M111">
        <f ca="1">IFERROR(IF(0=LEN(ReferenceData!$M$111),"",ReferenceData!$M$111),"")</f>
        <v>2455113</v>
      </c>
      <c r="N111">
        <f ca="1">IFERROR(IF(0=LEN(ReferenceData!$N$111),"",ReferenceData!$N$111),"")</f>
        <v>2416676</v>
      </c>
      <c r="O111">
        <f ca="1">IFERROR(IF(0=LEN(ReferenceData!$O$111),"",ReferenceData!$O$111),"")</f>
        <v>2381064</v>
      </c>
      <c r="P111">
        <f ca="1">IFERROR(IF(0=LEN(ReferenceData!$P$111),"",ReferenceData!$P$111),"")</f>
        <v>2380904</v>
      </c>
      <c r="Q111">
        <f ca="1">IFERROR(IF(0=LEN(ReferenceData!$Q$111),"",ReferenceData!$Q$111),"")</f>
        <v>2394105</v>
      </c>
      <c r="R111">
        <f ca="1">IFERROR(IF(0=LEN(ReferenceData!$R$111),"",ReferenceData!$R$111),"")</f>
        <v>2291413</v>
      </c>
      <c r="S111">
        <f ca="1">IFERROR(IF(0=LEN(ReferenceData!$S$111),"",ReferenceData!$S$111),"")</f>
        <v>2361876</v>
      </c>
      <c r="T111">
        <f ca="1">IFERROR(IF(0=LEN(ReferenceData!$T$111),"",ReferenceData!$T$111),"")</f>
        <v>2327868</v>
      </c>
      <c r="U111">
        <f ca="1">IFERROR(IF(0=LEN(ReferenceData!$U$111),"",ReferenceData!$U$111),"")</f>
        <v>2314266</v>
      </c>
      <c r="V111">
        <f ca="1">IFERROR(IF(0=LEN(ReferenceData!$V$111),"",ReferenceData!$V$111),"")</f>
        <v>2260090</v>
      </c>
      <c r="W111">
        <f ca="1">IFERROR(IF(0=LEN(ReferenceData!$W$111),"",ReferenceData!$W$111),"")</f>
        <v>2234459</v>
      </c>
      <c r="X111">
        <f ca="1">IFERROR(IF(0=LEN(ReferenceData!$X$111),"",ReferenceData!$X$111),"")</f>
        <v>2232799</v>
      </c>
      <c r="Y111">
        <f ca="1">IFERROR(IF(0=LEN(ReferenceData!$Y$111),"",ReferenceData!$Y$111),"")</f>
        <v>2220114</v>
      </c>
      <c r="Z111">
        <f ca="1">IFERROR(IF(0=LEN(ReferenceData!$Z$111),"",ReferenceData!$Z$111),"")</f>
        <v>1951158</v>
      </c>
      <c r="AA111">
        <f ca="1">IFERROR(IF(0=LEN(ReferenceData!$AA$111),"",ReferenceData!$AA$111),"")</f>
        <v>2014802</v>
      </c>
      <c r="AB111">
        <f ca="1">IFERROR(IF(0=LEN(ReferenceData!$AB$111),"",ReferenceData!$AB$111),"")</f>
        <v>1988226</v>
      </c>
      <c r="AC111">
        <f ca="1">IFERROR(IF(0=LEN(ReferenceData!$AC$111),"",ReferenceData!$AC$111),"")</f>
        <v>1958413</v>
      </c>
      <c r="AD111">
        <f ca="1">IFERROR(IF(0=LEN(ReferenceData!$AD$111),"",ReferenceData!$AD$111),"")</f>
        <v>1917383</v>
      </c>
      <c r="AE111">
        <f ca="1">IFERROR(IF(0=LEN(ReferenceData!$AE$111),"",ReferenceData!$AE$111),"")</f>
        <v>1925165</v>
      </c>
      <c r="AF111">
        <f ca="1">IFERROR(IF(0=LEN(ReferenceData!$AF$111),"",ReferenceData!$AF$111),"")</f>
        <v>1912334</v>
      </c>
      <c r="AG111">
        <f ca="1">IFERROR(IF(0=LEN(ReferenceData!$AG$111),"",ReferenceData!$AG$111),"")</f>
        <v>1922104</v>
      </c>
      <c r="AH111">
        <f ca="1">IFERROR(IF(0=LEN(ReferenceData!$AH$111),"",ReferenceData!$AH$111),"")</f>
        <v>1842465</v>
      </c>
      <c r="AI111">
        <f ca="1">IFERROR(IF(0=LEN(ReferenceData!$AI$111),"",ReferenceData!$AI$111),"")</f>
        <v>1889133</v>
      </c>
      <c r="AJ111">
        <f ca="1">IFERROR(IF(0=LEN(ReferenceData!$AJ$111),"",ReferenceData!$AJ$111),"")</f>
        <v>1864063</v>
      </c>
      <c r="AK111">
        <f ca="1">IFERROR(IF(0=LEN(ReferenceData!$AK$111),"",ReferenceData!$AK$111),"")</f>
        <v>1821635</v>
      </c>
      <c r="AL111">
        <f ca="1">IFERROR(IF(0=LEN(ReferenceData!$AL$111),"",ReferenceData!$AL$111),"")</f>
        <v>1792077</v>
      </c>
      <c r="AM111">
        <f ca="1">IFERROR(IF(0=LEN(ReferenceData!$AM$111),"",ReferenceData!$AM$111),"")</f>
        <v>1818117</v>
      </c>
      <c r="AN111">
        <f ca="1">IFERROR(IF(0=LEN(ReferenceData!$AN$111),"",ReferenceData!$AN$111),"")</f>
        <v>1818771</v>
      </c>
      <c r="AO111">
        <f ca="1">IFERROR(IF(0=LEN(ReferenceData!$AO$111),"",ReferenceData!$AO$111),"")</f>
        <v>1800967</v>
      </c>
      <c r="AP111">
        <f ca="1">IFERROR(IF(0=LEN(ReferenceData!$AP$111),"",ReferenceData!$AP$111),"")</f>
        <v>1731210</v>
      </c>
      <c r="AQ111">
        <f ca="1">IFERROR(IF(0=LEN(ReferenceData!$AQ$111),"",ReferenceData!$AQ$111),"")</f>
        <v>1808356</v>
      </c>
      <c r="AR111">
        <f ca="1">IFERROR(IF(0=LEN(ReferenceData!$AR$111),"",ReferenceData!$AR$111),"")</f>
        <v>1829370</v>
      </c>
      <c r="AS111">
        <f ca="1">IFERROR(IF(0=LEN(ReferenceData!$AS$111),"",ReferenceData!$AS$111),"")</f>
        <v>1831801</v>
      </c>
      <c r="AT111">
        <f ca="1">IFERROR(IF(0=LEN(ReferenceData!$AT$111),"",ReferenceData!$AT$111),"")</f>
        <v>1842530</v>
      </c>
      <c r="AU111">
        <f ca="1">IFERROR(IF(0=LEN(ReferenceData!$AU$111),"",ReferenceData!$AU$111),"")</f>
        <v>1882849</v>
      </c>
      <c r="AV111">
        <f ca="1">IFERROR(IF(0=LEN(ReferenceData!$AV$111),"",ReferenceData!$AV$111),"")</f>
        <v>1909715</v>
      </c>
      <c r="AW111">
        <f ca="1">IFERROR(IF(0=LEN(ReferenceData!$AW$111),"",ReferenceData!$AW$111),"")</f>
        <v>1894736</v>
      </c>
      <c r="AX111">
        <f ca="1">IFERROR(IF(0=LEN(ReferenceData!$AX$111),"",ReferenceData!$AX$111),"")</f>
        <v>1880382</v>
      </c>
      <c r="AY111">
        <f ca="1">IFERROR(IF(0=LEN(ReferenceData!$AY$111),"",ReferenceData!$AY$111),"")</f>
        <v>1899511</v>
      </c>
      <c r="AZ111">
        <f ca="1">IFERROR(IF(0=LEN(ReferenceData!$AZ$111),"",ReferenceData!$AZ$111),"")</f>
        <v>1883988</v>
      </c>
      <c r="BA111">
        <f ca="1">IFERROR(IF(0=LEN(ReferenceData!$BA$111),"",ReferenceData!$BA$111),"")</f>
        <v>1881734</v>
      </c>
      <c r="BB111">
        <f ca="1">IFERROR(IF(0=LEN(ReferenceData!$BB$111),"",ReferenceData!$BB$111),"")</f>
        <v>1864660</v>
      </c>
      <c r="BC111">
        <f ca="1">IFERROR(IF(0=LEN(ReferenceData!$BC$111),"",ReferenceData!$BC$111),"")</f>
        <v>1931346</v>
      </c>
      <c r="BD111">
        <f ca="1">IFERROR(IF(0=LEN(ReferenceData!$BD$111),"",ReferenceData!$BD$111),"")</f>
        <v>1916451</v>
      </c>
      <c r="BE111">
        <f ca="1">IFERROR(IF(0=LEN(ReferenceData!$BE$111),"",ReferenceData!$BE$111),"")</f>
        <v>1944423</v>
      </c>
      <c r="BF111">
        <f ca="1">IFERROR(IF(0=LEN(ReferenceData!$BF$111),"",ReferenceData!$BF$111),"")</f>
        <v>1873878</v>
      </c>
      <c r="BG111">
        <f ca="1">IFERROR(IF(0=LEN(ReferenceData!$BG$111),"",ReferenceData!$BG$111),"")</f>
        <v>1935992</v>
      </c>
      <c r="BH111">
        <f ca="1">IFERROR(IF(0=LEN(ReferenceData!$BH$111),"",ReferenceData!$BH$111),"")</f>
        <v>1956626</v>
      </c>
      <c r="BI111">
        <f ca="1">IFERROR(IF(0=LEN(ReferenceData!$BI$111),"",ReferenceData!$BI$111),"")</f>
        <v>1947815</v>
      </c>
      <c r="BJ111">
        <f ca="1">IFERROR(IF(0=LEN(ReferenceData!$BJ$111),"",ReferenceData!$BJ$111),"")</f>
        <v>1913902</v>
      </c>
      <c r="BK111">
        <f ca="1">IFERROR(IF(0=LEN(ReferenceData!$BK$111),"",ReferenceData!$BK$111),"")</f>
        <v>1983280</v>
      </c>
      <c r="BL111">
        <f ca="1">IFERROR(IF(0=LEN(ReferenceData!$BL$111),"",ReferenceData!$BL$111),"")</f>
        <v>1937656</v>
      </c>
      <c r="BM111" t="str">
        <f ca="1">IFERROR(IF(0=LEN(ReferenceData!$BM$111),"",ReferenceData!$BM$111),"")</f>
        <v/>
      </c>
    </row>
    <row r="112" spans="1:65" x14ac:dyDescent="0.25">
      <c r="A112" t="str">
        <f>IFERROR(IF(0=LEN(ReferenceData!$A$112),"",ReferenceData!$A$112),"")</f>
        <v xml:space="preserve">            Citizens Financial Group Inc</v>
      </c>
      <c r="B112" t="str">
        <f>IFERROR(IF(0=LEN(ReferenceData!$B$112),"",ReferenceData!$B$112),"")</f>
        <v>CFG US Equity</v>
      </c>
      <c r="C112" t="str">
        <f>IFERROR(IF(0=LEN(ReferenceData!$C$112),"",ReferenceData!$C$112),"")</f>
        <v>FC001</v>
      </c>
      <c r="D112" t="str">
        <f>IFERROR(IF(0=LEN(ReferenceData!$D$112),"",ReferenceData!$D$112),"")</f>
        <v>FDIC_TOTAL_ASSETS</v>
      </c>
      <c r="E112" t="str">
        <f>IFERROR(IF(0=LEN(ReferenceData!$E$112),"",ReferenceData!$E$112),"")</f>
        <v>Dynamic</v>
      </c>
      <c r="F112">
        <f ca="1">IFERROR(IF(0=LEN(ReferenceData!$F$112),"",ReferenceData!$F$112),"")</f>
        <v>217935.962</v>
      </c>
      <c r="G112">
        <f ca="1">IFERROR(IF(0=LEN(ReferenceData!$G$112),"",ReferenceData!$G$112),"")</f>
        <v>220309.16699999999</v>
      </c>
      <c r="H112">
        <f ca="1">IFERROR(IF(0=LEN(ReferenceData!$H$112),"",ReferenceData!$H$112),"")</f>
        <v>220373.58600000001</v>
      </c>
      <c r="I112">
        <f ca="1">IFERROR(IF(0=LEN(ReferenceData!$I$112),"",ReferenceData!$I$112),"")</f>
        <v>220862.00200000001</v>
      </c>
      <c r="J112">
        <f ca="1">IFERROR(IF(0=LEN(ReferenceData!$J$112),"",ReferenceData!$J$112),"")</f>
        <v>222411.872</v>
      </c>
      <c r="K112">
        <f ca="1">IFERROR(IF(0=LEN(ReferenceData!$K$112),"",ReferenceData!$K$112),"")</f>
        <v>225635.45600000001</v>
      </c>
      <c r="L112">
        <f ca="1">IFERROR(IF(0=LEN(ReferenceData!$L$112),"",ReferenceData!$L$112),"")</f>
        <v>223468.136</v>
      </c>
      <c r="M112">
        <f ca="1">IFERROR(IF(0=LEN(ReferenceData!$M$112),"",ReferenceData!$M$112),"")</f>
        <v>222655.78200000001</v>
      </c>
      <c r="N112">
        <f ca="1">IFERROR(IF(0=LEN(ReferenceData!$N$112),"",ReferenceData!$N$112),"")</f>
        <v>227087.18599999999</v>
      </c>
      <c r="O112">
        <f ca="1">IFERROR(IF(0=LEN(ReferenceData!$O$112),"",ReferenceData!$O$112),"")</f>
        <v>225138.533</v>
      </c>
      <c r="P112">
        <f ca="1">IFERROR(IF(0=LEN(ReferenceData!$P$112),"",ReferenceData!$P$112),"")</f>
        <v>227186.68100000001</v>
      </c>
      <c r="Q112">
        <f ca="1">IFERROR(IF(0=LEN(ReferenceData!$Q$112),"",ReferenceData!$Q$112),"")</f>
        <v>192471.58499999999</v>
      </c>
      <c r="R112">
        <f ca="1">IFERROR(IF(0=LEN(ReferenceData!$R$112),"",ReferenceData!$R$112),"")</f>
        <v>188708.50200000001</v>
      </c>
      <c r="S112">
        <f ca="1">IFERROR(IF(0=LEN(ReferenceData!$S$112),"",ReferenceData!$S$112),"")</f>
        <v>187548.62400000001</v>
      </c>
      <c r="T112">
        <f ca="1">IFERROR(IF(0=LEN(ReferenceData!$T$112),"",ReferenceData!$T$112),"")</f>
        <v>185540.96299999999</v>
      </c>
      <c r="U112">
        <f ca="1">IFERROR(IF(0=LEN(ReferenceData!$U$112),"",ReferenceData!$U$112),"")</f>
        <v>187601.9</v>
      </c>
      <c r="V112">
        <f ca="1">IFERROR(IF(0=LEN(ReferenceData!$V$112),"",ReferenceData!$V$112),"")</f>
        <v>183728.54</v>
      </c>
      <c r="W112">
        <f ca="1">IFERROR(IF(0=LEN(ReferenceData!$W$112),"",ReferenceData!$W$112),"")</f>
        <v>179583.42600000001</v>
      </c>
      <c r="X112">
        <f ca="1">IFERROR(IF(0=LEN(ReferenceData!$X$112),"",ReferenceData!$X$112),"")</f>
        <v>180245.568</v>
      </c>
      <c r="Y112">
        <f ca="1">IFERROR(IF(0=LEN(ReferenceData!$Y$112),"",ReferenceData!$Y$112),"")</f>
        <v>176981.45600000001</v>
      </c>
      <c r="Z112">
        <f ca="1">IFERROR(IF(0=LEN(ReferenceData!$Z$112),"",ReferenceData!$Z$112),"")</f>
        <v>166089.89000000001</v>
      </c>
      <c r="AA112">
        <f ca="1">IFERROR(IF(0=LEN(ReferenceData!$AA$112),"",ReferenceData!$AA$112),"")</f>
        <v>164974.535</v>
      </c>
      <c r="AB112">
        <f ca="1">IFERROR(IF(0=LEN(ReferenceData!$AB$112),"",ReferenceData!$AB$112),"")</f>
        <v>163345.723</v>
      </c>
      <c r="AC112">
        <f ca="1">IFERROR(IF(0=LEN(ReferenceData!$AC$112),"",ReferenceData!$AC$112),"")</f>
        <v>161724.204</v>
      </c>
      <c r="AD112">
        <f ca="1">IFERROR(IF(0=LEN(ReferenceData!$AD$112),"",ReferenceData!$AD$112),"")</f>
        <v>161004.68700000001</v>
      </c>
      <c r="AE112">
        <f ca="1">IFERROR(IF(0=LEN(ReferenceData!$AE$112),"",ReferenceData!$AE$112),"")</f>
        <v>158989.03</v>
      </c>
      <c r="AF112">
        <f ca="1">IFERROR(IF(0=LEN(ReferenceData!$AF$112),"",ReferenceData!$AF$112),"")</f>
        <v>155838.315</v>
      </c>
      <c r="AG112">
        <f ca="1">IFERROR(IF(0=LEN(ReferenceData!$AG$112),"",ReferenceData!$AG$112),"")</f>
        <v>153850.954</v>
      </c>
      <c r="AH112">
        <f ca="1">IFERROR(IF(0=LEN(ReferenceData!$AH$112),"",ReferenceData!$AH$112),"")</f>
        <v>152709.68100000001</v>
      </c>
      <c r="AI112">
        <f ca="1">IFERROR(IF(0=LEN(ReferenceData!$AI$112),"",ReferenceData!$AI$112),"")</f>
        <v>151763.761</v>
      </c>
      <c r="AJ112">
        <f ca="1">IFERROR(IF(0=LEN(ReferenceData!$AJ$112),"",ReferenceData!$AJ$112),"")</f>
        <v>151993.22</v>
      </c>
      <c r="AK112">
        <f ca="1">IFERROR(IF(0=LEN(ReferenceData!$AK$112),"",ReferenceData!$AK$112),"")</f>
        <v>150690.016</v>
      </c>
      <c r="AL112">
        <f ca="1">IFERROR(IF(0=LEN(ReferenceData!$AL$112),"",ReferenceData!$AL$112),"")</f>
        <v>150022.88500000001</v>
      </c>
      <c r="AM112">
        <f ca="1">IFERROR(IF(0=LEN(ReferenceData!$AM$112),"",ReferenceData!$AM$112),"")</f>
        <v>147442.174</v>
      </c>
      <c r="AN112">
        <f ca="1">IFERROR(IF(0=LEN(ReferenceData!$AN$112),"",ReferenceData!$AN$112),"")</f>
        <v>145568.29699999999</v>
      </c>
      <c r="AO112">
        <f ca="1">IFERROR(IF(0=LEN(ReferenceData!$AO$112),"",ReferenceData!$AO$112),"")</f>
        <v>140409.38500000001</v>
      </c>
      <c r="AP112">
        <f ca="1">IFERROR(IF(0=LEN(ReferenceData!$AP$112),"",ReferenceData!$AP$112),"")</f>
        <v>138574.068</v>
      </c>
      <c r="AQ112">
        <f ca="1">IFERROR(IF(0=LEN(ReferenceData!$AQ$112),"",ReferenceData!$AQ$112),"")</f>
        <v>135811.13099999999</v>
      </c>
      <c r="AR112">
        <f ca="1">IFERROR(IF(0=LEN(ReferenceData!$AR$112),"",ReferenceData!$AR$112),"")</f>
        <v>137564.32199999999</v>
      </c>
      <c r="AS112">
        <f ca="1">IFERROR(IF(0=LEN(ReferenceData!$AS$112),"",ReferenceData!$AS$112),"")</f>
        <v>136905.65100000001</v>
      </c>
      <c r="AT112">
        <f ca="1">IFERROR(IF(0=LEN(ReferenceData!$AT$112),"",ReferenceData!$AT$112),"")</f>
        <v>133000.128</v>
      </c>
      <c r="AU112">
        <f ca="1">IFERROR(IF(0=LEN(ReferenceData!$AU$112),"",ReferenceData!$AU$112),"")</f>
        <v>131520.69099999999</v>
      </c>
      <c r="AV112">
        <f ca="1">IFERROR(IF(0=LEN(ReferenceData!$AV$112),"",ReferenceData!$AV$112),"")</f>
        <v>130579.63</v>
      </c>
      <c r="AW112">
        <f ca="1">IFERROR(IF(0=LEN(ReferenceData!$AW$112),"",ReferenceData!$AW$112),"")</f>
        <v>127295.624</v>
      </c>
      <c r="AX112">
        <f ca="1">IFERROR(IF(0=LEN(ReferenceData!$AX$112),"",ReferenceData!$AX$112),"")</f>
        <v>122257.732</v>
      </c>
      <c r="AY112">
        <f ca="1">IFERROR(IF(0=LEN(ReferenceData!$AY$112),"",ReferenceData!$AY$112),"")</f>
        <v>120738.247</v>
      </c>
      <c r="AZ112">
        <f ca="1">IFERROR(IF(0=LEN(ReferenceData!$AZ$112),"",ReferenceData!$AZ$112),"")</f>
        <v>118137.679</v>
      </c>
      <c r="BA112">
        <f ca="1">IFERROR(IF(0=LEN(ReferenceData!$BA$112),"",ReferenceData!$BA$112),"")</f>
        <v>126322.821</v>
      </c>
      <c r="BB112">
        <f ca="1">IFERROR(IF(0=LEN(ReferenceData!$BB$112),"",ReferenceData!$BB$112),"")</f>
        <v>127911.732</v>
      </c>
      <c r="BC112">
        <f ca="1">IFERROR(IF(0=LEN(ReferenceData!$BC$112),"",ReferenceData!$BC$112),"")</f>
        <v>132014.924</v>
      </c>
      <c r="BD112">
        <f ca="1">IFERROR(IF(0=LEN(ReferenceData!$BD$112),"",ReferenceData!$BD$112),"")</f>
        <v>129313.757</v>
      </c>
      <c r="BE112">
        <f ca="1">IFERROR(IF(0=LEN(ReferenceData!$BE$112),"",ReferenceData!$BE$112),"")</f>
        <v>129963.64</v>
      </c>
      <c r="BF112">
        <f ca="1">IFERROR(IF(0=LEN(ReferenceData!$BF$112),"",ReferenceData!$BF$112),"")</f>
        <v>129810.542</v>
      </c>
      <c r="BG112">
        <f ca="1">IFERROR(IF(0=LEN(ReferenceData!$BG$112),"",ReferenceData!$BG$112),"")</f>
        <v>130660.891</v>
      </c>
      <c r="BH112">
        <f ca="1">IFERROR(IF(0=LEN(ReferenceData!$BH$112),"",ReferenceData!$BH$112),"")</f>
        <v>131799.704</v>
      </c>
      <c r="BI112">
        <f ca="1">IFERROR(IF(0=LEN(ReferenceData!$BI$112),"",ReferenceData!$BI$112),"")</f>
        <v>131971.261</v>
      </c>
      <c r="BJ112">
        <f ca="1">IFERROR(IF(0=LEN(ReferenceData!$BJ$112),"",ReferenceData!$BJ$112),"")</f>
        <v>129969.527</v>
      </c>
      <c r="BK112">
        <f ca="1">IFERROR(IF(0=LEN(ReferenceData!$BK$112),"",ReferenceData!$BK$112),"")</f>
        <v>136117.75899999999</v>
      </c>
      <c r="BL112">
        <f ca="1">IFERROR(IF(0=LEN(ReferenceData!$BL$112),"",ReferenceData!$BL$112),"")</f>
        <v>140019.495</v>
      </c>
      <c r="BM112" t="str">
        <f ca="1">IFERROR(IF(0=LEN(ReferenceData!$BM$112),"",ReferenceData!$BM$112),"")</f>
        <v/>
      </c>
    </row>
    <row r="113" spans="1:65" x14ac:dyDescent="0.25">
      <c r="A113" t="str">
        <f>IFERROR(IF(0=LEN(ReferenceData!$A$113),"",ReferenceData!$A$113),"")</f>
        <v xml:space="preserve">            Capital One Financial Corp</v>
      </c>
      <c r="B113" t="str">
        <f>IFERROR(IF(0=LEN(ReferenceData!$B$113),"",ReferenceData!$B$113),"")</f>
        <v>COF US Equity</v>
      </c>
      <c r="C113" t="str">
        <f>IFERROR(IF(0=LEN(ReferenceData!$C$113),"",ReferenceData!$C$113),"")</f>
        <v>FC001</v>
      </c>
      <c r="D113" t="str">
        <f>IFERROR(IF(0=LEN(ReferenceData!$D$113),"",ReferenceData!$D$113),"")</f>
        <v>FDIC_TOTAL_ASSETS</v>
      </c>
      <c r="E113" t="str">
        <f>IFERROR(IF(0=LEN(ReferenceData!$E$113),"",ReferenceData!$E$113),"")</f>
        <v>Dynamic</v>
      </c>
      <c r="F113">
        <f ca="1">IFERROR(IF(0=LEN(ReferenceData!$F$113),"",ReferenceData!$F$113),"")</f>
        <v>490144.03200000001</v>
      </c>
      <c r="G113">
        <f ca="1">IFERROR(IF(0=LEN(ReferenceData!$G$113),"",ReferenceData!$G$113),"")</f>
        <v>486432.79599999997</v>
      </c>
      <c r="H113">
        <f ca="1">IFERROR(IF(0=LEN(ReferenceData!$H$113),"",ReferenceData!$H$113),"")</f>
        <v>480017.82199999999</v>
      </c>
      <c r="I113">
        <f ca="1">IFERROR(IF(0=LEN(ReferenceData!$I$113),"",ReferenceData!$I$113),"")</f>
        <v>481719.68400000001</v>
      </c>
      <c r="J113">
        <f ca="1">IFERROR(IF(0=LEN(ReferenceData!$J$113),"",ReferenceData!$J$113),"")</f>
        <v>478464.223</v>
      </c>
      <c r="K113">
        <f ca="1">IFERROR(IF(0=LEN(ReferenceData!$K$113),"",ReferenceData!$K$113),"")</f>
        <v>471434.73700000002</v>
      </c>
      <c r="L113">
        <f ca="1">IFERROR(IF(0=LEN(ReferenceData!$L$113),"",ReferenceData!$L$113),"")</f>
        <v>467799.62300000002</v>
      </c>
      <c r="M113">
        <f ca="1">IFERROR(IF(0=LEN(ReferenceData!$M$113),"",ReferenceData!$M$113),"")</f>
        <v>471660.065</v>
      </c>
      <c r="N113">
        <f ca="1">IFERROR(IF(0=LEN(ReferenceData!$N$113),"",ReferenceData!$N$113),"")</f>
        <v>455249.08</v>
      </c>
      <c r="O113">
        <f ca="1">IFERROR(IF(0=LEN(ReferenceData!$O$113),"",ReferenceData!$O$113),"")</f>
        <v>444232.09899999999</v>
      </c>
      <c r="P113">
        <f ca="1">IFERROR(IF(0=LEN(ReferenceData!$P$113),"",ReferenceData!$P$113),"")</f>
        <v>440287.66700000002</v>
      </c>
      <c r="Q113">
        <f ca="1">IFERROR(IF(0=LEN(ReferenceData!$Q$113),"",ReferenceData!$Q$113),"")</f>
        <v>434195.24900000001</v>
      </c>
      <c r="R113">
        <f ca="1">IFERROR(IF(0=LEN(ReferenceData!$R$113),"",ReferenceData!$R$113),"")</f>
        <v>432381.054</v>
      </c>
      <c r="S113">
        <f ca="1">IFERROR(IF(0=LEN(ReferenceData!$S$113),"",ReferenceData!$S$113),"")</f>
        <v>425377.45500000002</v>
      </c>
      <c r="T113">
        <f ca="1">IFERROR(IF(0=LEN(ReferenceData!$T$113),"",ReferenceData!$T$113),"")</f>
        <v>423420.28899999999</v>
      </c>
      <c r="U113">
        <f ca="1">IFERROR(IF(0=LEN(ReferenceData!$U$113),"",ReferenceData!$U$113),"")</f>
        <v>425175.12199999997</v>
      </c>
      <c r="V113">
        <f ca="1">IFERROR(IF(0=LEN(ReferenceData!$V$113),"",ReferenceData!$V$113),"")</f>
        <v>421602.06599999999</v>
      </c>
      <c r="W113">
        <f ca="1">IFERROR(IF(0=LEN(ReferenceData!$W$113),"",ReferenceData!$W$113),"")</f>
        <v>421882.80900000001</v>
      </c>
      <c r="X113">
        <f ca="1">IFERROR(IF(0=LEN(ReferenceData!$X$113),"",ReferenceData!$X$113),"")</f>
        <v>421296.04700000002</v>
      </c>
      <c r="Y113">
        <f ca="1">IFERROR(IF(0=LEN(ReferenceData!$Y$113),"",ReferenceData!$Y$113),"")</f>
        <v>396878.03100000002</v>
      </c>
      <c r="Z113">
        <f ca="1">IFERROR(IF(0=LEN(ReferenceData!$Z$113),"",ReferenceData!$Z$113),"")</f>
        <v>390364.86599999998</v>
      </c>
      <c r="AA113">
        <f ca="1">IFERROR(IF(0=LEN(ReferenceData!$AA$113),"",ReferenceData!$AA$113),"")</f>
        <v>378810.38699999999</v>
      </c>
      <c r="AB113">
        <f ca="1">IFERROR(IF(0=LEN(ReferenceData!$AB$113),"",ReferenceData!$AB$113),"")</f>
        <v>373618.924</v>
      </c>
      <c r="AC113">
        <f ca="1">IFERROR(IF(0=LEN(ReferenceData!$AC$113),"",ReferenceData!$AC$113),"")</f>
        <v>373191.353</v>
      </c>
      <c r="AD113">
        <f ca="1">IFERROR(IF(0=LEN(ReferenceData!$AD$113),"",ReferenceData!$AD$113),"")</f>
        <v>372537.59700000001</v>
      </c>
      <c r="AE113">
        <f ca="1">IFERROR(IF(0=LEN(ReferenceData!$AE$113),"",ReferenceData!$AE$113),"")</f>
        <v>362909.35600000003</v>
      </c>
      <c r="AF113">
        <f ca="1">IFERROR(IF(0=LEN(ReferenceData!$AF$113),"",ReferenceData!$AF$113),"")</f>
        <v>363989.30200000003</v>
      </c>
      <c r="AG113">
        <f ca="1">IFERROR(IF(0=LEN(ReferenceData!$AG$113),"",ReferenceData!$AG$113),"")</f>
        <v>362857.35800000001</v>
      </c>
      <c r="AH113">
        <f ca="1">IFERROR(IF(0=LEN(ReferenceData!$AH$113),"",ReferenceData!$AH$113),"")</f>
        <v>365692.66899999999</v>
      </c>
      <c r="AI113">
        <f ca="1">IFERROR(IF(0=LEN(ReferenceData!$AI$113),"",ReferenceData!$AI$113),"")</f>
        <v>361401.88500000001</v>
      </c>
      <c r="AJ113">
        <f ca="1">IFERROR(IF(0=LEN(ReferenceData!$AJ$113),"",ReferenceData!$AJ$113),"")</f>
        <v>350592.89399999997</v>
      </c>
      <c r="AK113">
        <f ca="1">IFERROR(IF(0=LEN(ReferenceData!$AK$113),"",ReferenceData!$AK$113),"")</f>
        <v>348549.33899999998</v>
      </c>
      <c r="AL113">
        <f ca="1">IFERROR(IF(0=LEN(ReferenceData!$AL$113),"",ReferenceData!$AL$113),"")</f>
        <v>357158.29399999999</v>
      </c>
      <c r="AM113">
        <f ca="1">IFERROR(IF(0=LEN(ReferenceData!$AM$113),"",ReferenceData!$AM$113),"")</f>
        <v>345187.277</v>
      </c>
      <c r="AN113">
        <f ca="1">IFERROR(IF(0=LEN(ReferenceData!$AN$113),"",ReferenceData!$AN$113),"")</f>
        <v>339247.71799999999</v>
      </c>
      <c r="AO113">
        <f ca="1">IFERROR(IF(0=LEN(ReferenceData!$AO$113),"",ReferenceData!$AO$113),"")</f>
        <v>330489.23499999999</v>
      </c>
      <c r="AP113">
        <f ca="1">IFERROR(IF(0=LEN(ReferenceData!$AP$113),"",ReferenceData!$AP$113),"")</f>
        <v>334179.91600000003</v>
      </c>
      <c r="AQ113">
        <f ca="1">IFERROR(IF(0=LEN(ReferenceData!$AQ$113),"",ReferenceData!$AQ$113),"")</f>
        <v>313827.58399999997</v>
      </c>
      <c r="AR113">
        <f ca="1">IFERROR(IF(0=LEN(ReferenceData!$AR$113),"",ReferenceData!$AR$113),"")</f>
        <v>310636.49699999997</v>
      </c>
      <c r="AS113">
        <f ca="1">IFERROR(IF(0=LEN(ReferenceData!$AS$113),"",ReferenceData!$AS$113),"")</f>
        <v>306501.32400000002</v>
      </c>
      <c r="AT113">
        <f ca="1">IFERROR(IF(0=LEN(ReferenceData!$AT$113),"",ReferenceData!$AT$113),"")</f>
        <v>309083.48100000003</v>
      </c>
      <c r="AU113">
        <f ca="1">IFERROR(IF(0=LEN(ReferenceData!$AU$113),"",ReferenceData!$AU$113),"")</f>
        <v>300444.02</v>
      </c>
      <c r="AV113">
        <f ca="1">IFERROR(IF(0=LEN(ReferenceData!$AV$113),"",ReferenceData!$AV$113),"")</f>
        <v>298653.92800000001</v>
      </c>
      <c r="AW113">
        <f ca="1">IFERROR(IF(0=LEN(ReferenceData!$AW$113),"",ReferenceData!$AW$113),"")</f>
        <v>290886.18</v>
      </c>
      <c r="AX113">
        <f ca="1">IFERROR(IF(0=LEN(ReferenceData!$AX$113),"",ReferenceData!$AX$113),"")</f>
        <v>297282.098</v>
      </c>
      <c r="AY113">
        <f ca="1">IFERROR(IF(0=LEN(ReferenceData!$AY$113),"",ReferenceData!$AY$113),"")</f>
        <v>290217.68699999998</v>
      </c>
      <c r="AZ113">
        <f ca="1">IFERROR(IF(0=LEN(ReferenceData!$AZ$113),"",ReferenceData!$AZ$113),"")</f>
        <v>296670.31400000001</v>
      </c>
      <c r="BA113">
        <f ca="1">IFERROR(IF(0=LEN(ReferenceData!$BA$113),"",ReferenceData!$BA$113),"")</f>
        <v>300293.69900000002</v>
      </c>
      <c r="BB113">
        <f ca="1">IFERROR(IF(0=LEN(ReferenceData!$BB$113),"",ReferenceData!$BB$113),"")</f>
        <v>313040.68800000002</v>
      </c>
      <c r="BC113">
        <f ca="1">IFERROR(IF(0=LEN(ReferenceData!$BC$113),"",ReferenceData!$BC$113),"")</f>
        <v>302114.103</v>
      </c>
      <c r="BD113">
        <f ca="1">IFERROR(IF(0=LEN(ReferenceData!$BD$113),"",ReferenceData!$BD$113),"")</f>
        <v>296698.16800000001</v>
      </c>
      <c r="BE113">
        <f ca="1">IFERROR(IF(0=LEN(ReferenceData!$BE$113),"",ReferenceData!$BE$113),"")</f>
        <v>294573.73100000003</v>
      </c>
      <c r="BF113">
        <f ca="1">IFERROR(IF(0=LEN(ReferenceData!$BF$113),"",ReferenceData!$BF$113),"")</f>
        <v>206103.658</v>
      </c>
      <c r="BG113">
        <f ca="1">IFERROR(IF(0=LEN(ReferenceData!$BG$113),"",ReferenceData!$BG$113),"")</f>
        <v>200148.49600000001</v>
      </c>
      <c r="BH113">
        <f ca="1">IFERROR(IF(0=LEN(ReferenceData!$BH$113),"",ReferenceData!$BH$113),"")</f>
        <v>199753.11300000001</v>
      </c>
      <c r="BI113">
        <f ca="1">IFERROR(IF(0=LEN(ReferenceData!$BI$113),"",ReferenceData!$BI$113),"")</f>
        <v>199300.23800000001</v>
      </c>
      <c r="BJ113">
        <f ca="1">IFERROR(IF(0=LEN(ReferenceData!$BJ$113),"",ReferenceData!$BJ$113),"")</f>
        <v>197503.41099999999</v>
      </c>
      <c r="BK113">
        <f ca="1">IFERROR(IF(0=LEN(ReferenceData!$BK$113),"",ReferenceData!$BK$113),"")</f>
        <v>196932.74900000001</v>
      </c>
      <c r="BL113">
        <f ca="1">IFERROR(IF(0=LEN(ReferenceData!$BL$113),"",ReferenceData!$BL$113),"")</f>
        <v>197488.67800000001</v>
      </c>
      <c r="BM113" t="str">
        <f ca="1">IFERROR(IF(0=LEN(ReferenceData!$BM$113),"",ReferenceData!$BM$113),"")</f>
        <v/>
      </c>
    </row>
    <row r="114" spans="1:65" x14ac:dyDescent="0.25">
      <c r="A114" t="str">
        <f>IFERROR(IF(0=LEN(ReferenceData!$A$114),"",ReferenceData!$A$114),"")</f>
        <v xml:space="preserve">            Comerica Inc</v>
      </c>
      <c r="B114" t="str">
        <f>IFERROR(IF(0=LEN(ReferenceData!$B$114),"",ReferenceData!$B$114),"")</f>
        <v>CMA US Equity</v>
      </c>
      <c r="C114" t="str">
        <f>IFERROR(IF(0=LEN(ReferenceData!$C$114),"",ReferenceData!$C$114),"")</f>
        <v>FC001</v>
      </c>
      <c r="D114" t="str">
        <f>IFERROR(IF(0=LEN(ReferenceData!$D$114),"",ReferenceData!$D$114),"")</f>
        <v>FDIC_TOTAL_ASSETS</v>
      </c>
      <c r="E114" t="str">
        <f>IFERROR(IF(0=LEN(ReferenceData!$E$114),"",ReferenceData!$E$114),"")</f>
        <v>Dynamic</v>
      </c>
      <c r="F114" t="str">
        <f ca="1">IFERROR(IF(0=LEN(ReferenceData!$F$114),"",ReferenceData!$F$114),"")</f>
        <v/>
      </c>
      <c r="G114" t="str">
        <f ca="1">IFERROR(IF(0=LEN(ReferenceData!$G$114),"",ReferenceData!$G$114),"")</f>
        <v/>
      </c>
      <c r="H114">
        <f ca="1">IFERROR(IF(0=LEN(ReferenceData!$H$114),"",ReferenceData!$H$114),"")</f>
        <v>79792</v>
      </c>
      <c r="I114">
        <f ca="1">IFERROR(IF(0=LEN(ReferenceData!$I$114),"",ReferenceData!$I$114),"")</f>
        <v>79660</v>
      </c>
      <c r="J114">
        <f ca="1">IFERROR(IF(0=LEN(ReferenceData!$J$114),"",ReferenceData!$J$114),"")</f>
        <v>86046</v>
      </c>
      <c r="K114">
        <f ca="1">IFERROR(IF(0=LEN(ReferenceData!$K$114),"",ReferenceData!$K$114),"")</f>
        <v>85909</v>
      </c>
      <c r="L114">
        <f ca="1">IFERROR(IF(0=LEN(ReferenceData!$L$114),"",ReferenceData!$L$114),"")</f>
        <v>90994</v>
      </c>
      <c r="M114">
        <f ca="1">IFERROR(IF(0=LEN(ReferenceData!$M$114),"",ReferenceData!$M$114),"")</f>
        <v>91327</v>
      </c>
      <c r="N114">
        <f ca="1">IFERROR(IF(0=LEN(ReferenceData!$N$114),"",ReferenceData!$N$114),"")</f>
        <v>85648</v>
      </c>
      <c r="O114">
        <f ca="1">IFERROR(IF(0=LEN(ReferenceData!$O$114),"",ReferenceData!$O$114),"")</f>
        <v>84344</v>
      </c>
      <c r="P114">
        <f ca="1">IFERROR(IF(0=LEN(ReferenceData!$P$114),"",ReferenceData!$P$114),"")</f>
        <v>87179</v>
      </c>
      <c r="Q114">
        <f ca="1">IFERROR(IF(0=LEN(ReferenceData!$Q$114),"",ReferenceData!$Q$114),"")</f>
        <v>89318</v>
      </c>
      <c r="R114">
        <f ca="1">IFERROR(IF(0=LEN(ReferenceData!$R$114),"",ReferenceData!$R$114),"")</f>
        <v>95001</v>
      </c>
      <c r="S114">
        <f ca="1">IFERROR(IF(0=LEN(ReferenceData!$S$114),"",ReferenceData!$S$114),"")</f>
        <v>94722</v>
      </c>
      <c r="T114">
        <f ca="1">IFERROR(IF(0=LEN(ReferenceData!$T$114),"",ReferenceData!$T$114),"")</f>
        <v>88515</v>
      </c>
      <c r="U114">
        <f ca="1">IFERROR(IF(0=LEN(ReferenceData!$U$114),"",ReferenceData!$U$114),"")</f>
        <v>86475</v>
      </c>
      <c r="V114">
        <f ca="1">IFERROR(IF(0=LEN(ReferenceData!$V$114),"",ReferenceData!$V$114),"")</f>
        <v>88320</v>
      </c>
      <c r="W114">
        <f ca="1">IFERROR(IF(0=LEN(ReferenceData!$W$114),"",ReferenceData!$W$114),"")</f>
        <v>83791</v>
      </c>
      <c r="X114">
        <f ca="1">IFERROR(IF(0=LEN(ReferenceData!$X$114),"",ReferenceData!$X$114),"")</f>
        <v>84603</v>
      </c>
      <c r="Y114">
        <f ca="1">IFERROR(IF(0=LEN(ReferenceData!$Y$114),"",ReferenceData!$Y$114),"")</f>
        <v>76457</v>
      </c>
      <c r="Z114">
        <f ca="1">IFERROR(IF(0=LEN(ReferenceData!$Z$114),"",ReferenceData!$Z$114),"")</f>
        <v>73519</v>
      </c>
      <c r="AA114">
        <f ca="1">IFERROR(IF(0=LEN(ReferenceData!$AA$114),"",ReferenceData!$AA$114),"")</f>
        <v>73081</v>
      </c>
      <c r="AB114">
        <f ca="1">IFERROR(IF(0=LEN(ReferenceData!$AB$114),"",ReferenceData!$AB$114),"")</f>
        <v>72592</v>
      </c>
      <c r="AC114">
        <f ca="1">IFERROR(IF(0=LEN(ReferenceData!$AC$114),"",ReferenceData!$AC$114),"")</f>
        <v>70796</v>
      </c>
      <c r="AD114">
        <f ca="1">IFERROR(IF(0=LEN(ReferenceData!$AD$114),"",ReferenceData!$AD$114),"")</f>
        <v>70906.002999999997</v>
      </c>
      <c r="AE114">
        <f ca="1">IFERROR(IF(0=LEN(ReferenceData!$AE$114),"",ReferenceData!$AE$114),"")</f>
        <v>71590.232000000004</v>
      </c>
      <c r="AF114">
        <f ca="1">IFERROR(IF(0=LEN(ReferenceData!$AF$114),"",ReferenceData!$AF$114),"")</f>
        <v>72204.035999999993</v>
      </c>
      <c r="AG114">
        <f ca="1">IFERROR(IF(0=LEN(ReferenceData!$AG$114),"",ReferenceData!$AG$114),"")</f>
        <v>72417.712</v>
      </c>
      <c r="AH114">
        <f ca="1">IFERROR(IF(0=LEN(ReferenceData!$AH$114),"",ReferenceData!$AH$114),"")</f>
        <v>71691.611999999994</v>
      </c>
      <c r="AI114">
        <f ca="1">IFERROR(IF(0=LEN(ReferenceData!$AI$114),"",ReferenceData!$AI$114),"")</f>
        <v>72268.505999999994</v>
      </c>
      <c r="AJ114">
        <f ca="1">IFERROR(IF(0=LEN(ReferenceData!$AJ$114),"",ReferenceData!$AJ$114),"")</f>
        <v>71630.277000000002</v>
      </c>
      <c r="AK114">
        <f ca="1">IFERROR(IF(0=LEN(ReferenceData!$AK$114),"",ReferenceData!$AK$114),"")</f>
        <v>73169.721000000005</v>
      </c>
      <c r="AL114">
        <f ca="1">IFERROR(IF(0=LEN(ReferenceData!$AL$114),"",ReferenceData!$AL$114),"")</f>
        <v>73129.914999999994</v>
      </c>
      <c r="AM114">
        <f ca="1">IFERROR(IF(0=LEN(ReferenceData!$AM$114),"",ReferenceData!$AM$114),"")</f>
        <v>74396.635999999999</v>
      </c>
      <c r="AN114">
        <f ca="1">IFERROR(IF(0=LEN(ReferenceData!$AN$114),"",ReferenceData!$AN$114),"")</f>
        <v>71440.154999999999</v>
      </c>
      <c r="AO114">
        <f ca="1">IFERROR(IF(0=LEN(ReferenceData!$AO$114),"",ReferenceData!$AO$114),"")</f>
        <v>69131.436000000002</v>
      </c>
      <c r="AP114">
        <f ca="1">IFERROR(IF(0=LEN(ReferenceData!$AP$114),"",ReferenceData!$AP$114),"")</f>
        <v>71983.051000000007</v>
      </c>
      <c r="AQ114">
        <f ca="1">IFERROR(IF(0=LEN(ReferenceData!$AQ$114),"",ReferenceData!$AQ$114),"")</f>
        <v>71212.884999999995</v>
      </c>
      <c r="AR114">
        <f ca="1">IFERROR(IF(0=LEN(ReferenceData!$AR$114),"",ReferenceData!$AR$114),"")</f>
        <v>70053.205000000002</v>
      </c>
      <c r="AS114">
        <f ca="1">IFERROR(IF(0=LEN(ReferenceData!$AS$114),"",ReferenceData!$AS$114),"")</f>
        <v>69420.232999999993</v>
      </c>
      <c r="AT114">
        <f ca="1">IFERROR(IF(0=LEN(ReferenceData!$AT$114),"",ReferenceData!$AT$114),"")</f>
        <v>69452.409</v>
      </c>
      <c r="AU114">
        <f ca="1">IFERROR(IF(0=LEN(ReferenceData!$AU$114),"",ReferenceData!$AU$114),"")</f>
        <v>68949.210000000006</v>
      </c>
      <c r="AV114">
        <f ca="1">IFERROR(IF(0=LEN(ReferenceData!$AV$114),"",ReferenceData!$AV$114),"")</f>
        <v>65386.080999999998</v>
      </c>
      <c r="AW114">
        <f ca="1">IFERROR(IF(0=LEN(ReferenceData!$AW$114),"",ReferenceData!$AW$114),"")</f>
        <v>65832.917000000001</v>
      </c>
      <c r="AX114">
        <f ca="1">IFERROR(IF(0=LEN(ReferenceData!$AX$114),"",ReferenceData!$AX$114),"")</f>
        <v>65356.58</v>
      </c>
      <c r="AY114">
        <f ca="1">IFERROR(IF(0=LEN(ReferenceData!$AY$114),"",ReferenceData!$AY$114),"")</f>
        <v>64723.31</v>
      </c>
      <c r="AZ114">
        <f ca="1">IFERROR(IF(0=LEN(ReferenceData!$AZ$114),"",ReferenceData!$AZ$114),"")</f>
        <v>63013.097000000002</v>
      </c>
      <c r="BA114">
        <f ca="1">IFERROR(IF(0=LEN(ReferenceData!$BA$114),"",ReferenceData!$BA$114),"")</f>
        <v>64975.279000000002</v>
      </c>
      <c r="BB114">
        <f ca="1">IFERROR(IF(0=LEN(ReferenceData!$BB$114),"",ReferenceData!$BB$114),"")</f>
        <v>65398.175000000003</v>
      </c>
      <c r="BC114">
        <f ca="1">IFERROR(IF(0=LEN(ReferenceData!$BC$114),"",ReferenceData!$BC$114),"")</f>
        <v>63449.196000000004</v>
      </c>
      <c r="BD114">
        <f ca="1">IFERROR(IF(0=LEN(ReferenceData!$BD$114),"",ReferenceData!$BD$114),"")</f>
        <v>62756.597000000002</v>
      </c>
      <c r="BE114">
        <f ca="1">IFERROR(IF(0=LEN(ReferenceData!$BE$114),"",ReferenceData!$BE$114),"")</f>
        <v>62682.288999999997</v>
      </c>
      <c r="BF114">
        <f ca="1">IFERROR(IF(0=LEN(ReferenceData!$BF$114),"",ReferenceData!$BF$114),"")</f>
        <v>61139.192000000003</v>
      </c>
      <c r="BG114">
        <f ca="1">IFERROR(IF(0=LEN(ReferenceData!$BG$114),"",ReferenceData!$BG$114),"")</f>
        <v>60991.256000000001</v>
      </c>
      <c r="BH114">
        <f ca="1">IFERROR(IF(0=LEN(ReferenceData!$BH$114),"",ReferenceData!$BH$114),"")</f>
        <v>54244.445</v>
      </c>
      <c r="BI114">
        <f ca="1">IFERROR(IF(0=LEN(ReferenceData!$BI$114),"",ReferenceData!$BI$114),"")</f>
        <v>55237.678</v>
      </c>
      <c r="BJ114">
        <f ca="1">IFERROR(IF(0=LEN(ReferenceData!$BJ$114),"",ReferenceData!$BJ$114),"")</f>
        <v>54001.082999999999</v>
      </c>
      <c r="BK114">
        <f ca="1">IFERROR(IF(0=LEN(ReferenceData!$BK$114),"",ReferenceData!$BK$114),"")</f>
        <v>55154.553</v>
      </c>
      <c r="BL114">
        <f ca="1">IFERROR(IF(0=LEN(ReferenceData!$BL$114),"",ReferenceData!$BL$114),"")</f>
        <v>55997.504999999997</v>
      </c>
      <c r="BM114">
        <f ca="1">IFERROR(IF(0=LEN(ReferenceData!$BM$114),"",ReferenceData!$BM$114),"")</f>
        <v>57225.093999999997</v>
      </c>
    </row>
    <row r="115" spans="1:65" x14ac:dyDescent="0.25">
      <c r="A115" t="str">
        <f>IFERROR(IF(0=LEN(ReferenceData!$A$115),"",ReferenceData!$A$115),"")</f>
        <v xml:space="preserve">            East West Bancorp Inc</v>
      </c>
      <c r="B115" t="str">
        <f>IFERROR(IF(0=LEN(ReferenceData!$B$115),"",ReferenceData!$B$115),"")</f>
        <v>EWBC US Equity</v>
      </c>
      <c r="C115" t="str">
        <f>IFERROR(IF(0=LEN(ReferenceData!$C$115),"",ReferenceData!$C$115),"")</f>
        <v>FC001</v>
      </c>
      <c r="D115" t="str">
        <f>IFERROR(IF(0=LEN(ReferenceData!$D$115),"",ReferenceData!$D$115),"")</f>
        <v>FDIC_TOTAL_ASSETS</v>
      </c>
      <c r="E115" t="str">
        <f>IFERROR(IF(0=LEN(ReferenceData!$E$115),"",ReferenceData!$E$115),"")</f>
        <v>Dynamic</v>
      </c>
      <c r="F115" t="str">
        <f ca="1">IFERROR(IF(0=LEN(ReferenceData!$F$115),"",ReferenceData!$F$115),"")</f>
        <v/>
      </c>
      <c r="G115" t="str">
        <f ca="1">IFERROR(IF(0=LEN(ReferenceData!$G$115),"",ReferenceData!$G$115),"")</f>
        <v/>
      </c>
      <c r="H115">
        <f ca="1">IFERROR(IF(0=LEN(ReferenceData!$H$115),"",ReferenceData!$H$115),"")</f>
        <v>72468.271999999997</v>
      </c>
      <c r="I115">
        <f ca="1">IFERROR(IF(0=LEN(ReferenceData!$I$115),"",ReferenceData!$I$115),"")</f>
        <v>70875.67</v>
      </c>
      <c r="J115">
        <f ca="1">IFERROR(IF(0=LEN(ReferenceData!$J$115),"",ReferenceData!$J$115),"")</f>
        <v>69612.884000000005</v>
      </c>
      <c r="K115">
        <f ca="1">IFERROR(IF(0=LEN(ReferenceData!$K$115),"",ReferenceData!$K$115),"")</f>
        <v>68289.457999999999</v>
      </c>
      <c r="L115">
        <f ca="1">IFERROR(IF(0=LEN(ReferenceData!$L$115),"",ReferenceData!$L$115),"")</f>
        <v>68532.680999999997</v>
      </c>
      <c r="M115">
        <f ca="1">IFERROR(IF(0=LEN(ReferenceData!$M$115),"",ReferenceData!$M$115),"")</f>
        <v>67244.898000000001</v>
      </c>
      <c r="N115">
        <f ca="1">IFERROR(IF(0=LEN(ReferenceData!$N$115),"",ReferenceData!$N$115),"")</f>
        <v>64112.15</v>
      </c>
      <c r="O115">
        <f ca="1">IFERROR(IF(0=LEN(ReferenceData!$O$115),"",ReferenceData!$O$115),"")</f>
        <v>62576.061000000002</v>
      </c>
      <c r="P115">
        <f ca="1">IFERROR(IF(0=LEN(ReferenceData!$P$115),"",ReferenceData!$P$115),"")</f>
        <v>62394.283000000003</v>
      </c>
      <c r="Q115">
        <f ca="1">IFERROR(IF(0=LEN(ReferenceData!$Q$115),"",ReferenceData!$Q$115),"")</f>
        <v>62241.455999999998</v>
      </c>
      <c r="R115">
        <f ca="1">IFERROR(IF(0=LEN(ReferenceData!$R$115),"",ReferenceData!$R$115),"")</f>
        <v>60870.701000000001</v>
      </c>
      <c r="S115">
        <f ca="1">IFERROR(IF(0=LEN(ReferenceData!$S$115),"",ReferenceData!$S$115),"")</f>
        <v>60959.11</v>
      </c>
      <c r="T115">
        <f ca="1">IFERROR(IF(0=LEN(ReferenceData!$T$115),"",ReferenceData!$T$115),"")</f>
        <v>59854.875999999997</v>
      </c>
      <c r="U115">
        <f ca="1">IFERROR(IF(0=LEN(ReferenceData!$U$115),"",ReferenceData!$U$115),"")</f>
        <v>56874.146000000001</v>
      </c>
      <c r="V115">
        <f ca="1">IFERROR(IF(0=LEN(ReferenceData!$V$115),"",ReferenceData!$V$115),"")</f>
        <v>52156.913</v>
      </c>
      <c r="W115">
        <f ca="1">IFERROR(IF(0=LEN(ReferenceData!$W$115),"",ReferenceData!$W$115),"")</f>
        <v>50371.476999999999</v>
      </c>
      <c r="X115">
        <f ca="1">IFERROR(IF(0=LEN(ReferenceData!$X$115),"",ReferenceData!$X$115),"")</f>
        <v>49407.593000000001</v>
      </c>
      <c r="Y115">
        <f ca="1">IFERROR(IF(0=LEN(ReferenceData!$Y$115),"",ReferenceData!$Y$115),"")</f>
        <v>45948.544999999998</v>
      </c>
      <c r="Z115">
        <f ca="1">IFERROR(IF(0=LEN(ReferenceData!$Z$115),"",ReferenceData!$Z$115),"")</f>
        <v>44196.095999999998</v>
      </c>
      <c r="AA115">
        <f ca="1">IFERROR(IF(0=LEN(ReferenceData!$AA$115),"",ReferenceData!$AA$115),"")</f>
        <v>43274.659</v>
      </c>
      <c r="AB115">
        <f ca="1">IFERROR(IF(0=LEN(ReferenceData!$AB$115),"",ReferenceData!$AB$115),"")</f>
        <v>42892.358</v>
      </c>
      <c r="AC115">
        <f ca="1">IFERROR(IF(0=LEN(ReferenceData!$AC$115),"",ReferenceData!$AC$115),"")</f>
        <v>42091.432999999997</v>
      </c>
      <c r="AD115">
        <f ca="1">IFERROR(IF(0=LEN(ReferenceData!$AD$115),"",ReferenceData!$AD$115),"")</f>
        <v>41042.356</v>
      </c>
      <c r="AE115">
        <f ca="1">IFERROR(IF(0=LEN(ReferenceData!$AE$115),"",ReferenceData!$AE$115),"")</f>
        <v>39073.106</v>
      </c>
      <c r="AF115">
        <f ca="1">IFERROR(IF(0=LEN(ReferenceData!$AF$115),"",ReferenceData!$AF$115),"")</f>
        <v>38072.953999999998</v>
      </c>
      <c r="AG115">
        <f ca="1">IFERROR(IF(0=LEN(ReferenceData!$AG$115),"",ReferenceData!$AG$115),"")</f>
        <v>37693.158000000003</v>
      </c>
      <c r="AH115">
        <f ca="1">IFERROR(IF(0=LEN(ReferenceData!$AH$115),"",ReferenceData!$AH$115),"")</f>
        <v>37150.249000000003</v>
      </c>
      <c r="AI115">
        <f ca="1">IFERROR(IF(0=LEN(ReferenceData!$AI$115),"",ReferenceData!$AI$115),"")</f>
        <v>36328.930999999997</v>
      </c>
      <c r="AJ115">
        <f ca="1">IFERROR(IF(0=LEN(ReferenceData!$AJ$115),"",ReferenceData!$AJ$115),"")</f>
        <v>35926.781999999999</v>
      </c>
      <c r="AK115">
        <f ca="1">IFERROR(IF(0=LEN(ReferenceData!$AK$115),"",ReferenceData!$AK$115),"")</f>
        <v>35348.696000000004</v>
      </c>
      <c r="AL115">
        <f ca="1">IFERROR(IF(0=LEN(ReferenceData!$AL$115),"",ReferenceData!$AL$115),"")</f>
        <v>34796.853999999999</v>
      </c>
      <c r="AM115">
        <f ca="1">IFERROR(IF(0=LEN(ReferenceData!$AM$115),"",ReferenceData!$AM$115),"")</f>
        <v>33269.938000000002</v>
      </c>
      <c r="AN115">
        <f ca="1">IFERROR(IF(0=LEN(ReferenceData!$AN$115),"",ReferenceData!$AN$115),"")</f>
        <v>32952.137999999999</v>
      </c>
      <c r="AO115">
        <f ca="1">IFERROR(IF(0=LEN(ReferenceData!$AO$115),"",ReferenceData!$AO$115),"")</f>
        <v>33109.184999999998</v>
      </c>
      <c r="AP115">
        <f ca="1">IFERROR(IF(0=LEN(ReferenceData!$AP$115),"",ReferenceData!$AP$115),"")</f>
        <v>32351.171999999999</v>
      </c>
      <c r="AQ115">
        <f ca="1">IFERROR(IF(0=LEN(ReferenceData!$AQ$115),"",ReferenceData!$AQ$115),"")</f>
        <v>31119.855</v>
      </c>
      <c r="AR115">
        <f ca="1">IFERROR(IF(0=LEN(ReferenceData!$AR$115),"",ReferenceData!$AR$115),"")</f>
        <v>30064.322</v>
      </c>
      <c r="AS115">
        <f ca="1">IFERROR(IF(0=LEN(ReferenceData!$AS$115),"",ReferenceData!$AS$115),"")</f>
        <v>29907.423999999999</v>
      </c>
      <c r="AT115">
        <f ca="1">IFERROR(IF(0=LEN(ReferenceData!$AT$115),"",ReferenceData!$AT$115),"")</f>
        <v>28738.323</v>
      </c>
      <c r="AU115">
        <f ca="1">IFERROR(IF(0=LEN(ReferenceData!$AU$115),"",ReferenceData!$AU$115),"")</f>
        <v>28481.155999999999</v>
      </c>
      <c r="AV115">
        <f ca="1">IFERROR(IF(0=LEN(ReferenceData!$AV$115),"",ReferenceData!$AV$115),"")</f>
        <v>27556.917000000001</v>
      </c>
      <c r="AW115">
        <f ca="1">IFERROR(IF(0=LEN(ReferenceData!$AW$115),"",ReferenceData!$AW$115),"")</f>
        <v>27401.437999999998</v>
      </c>
      <c r="AX115">
        <f ca="1">IFERROR(IF(0=LEN(ReferenceData!$AX$115),"",ReferenceData!$AX$115),"")</f>
        <v>24730.609</v>
      </c>
      <c r="AY115">
        <f ca="1">IFERROR(IF(0=LEN(ReferenceData!$AY$115),"",ReferenceData!$AY$115),"")</f>
        <v>24493.454000000002</v>
      </c>
      <c r="AZ115">
        <f ca="1">IFERROR(IF(0=LEN(ReferenceData!$AZ$115),"",ReferenceData!$AZ$115),"")</f>
        <v>23314.134999999998</v>
      </c>
      <c r="BA115">
        <f ca="1">IFERROR(IF(0=LEN(ReferenceData!$BA$115),"",ReferenceData!$BA$115),"")</f>
        <v>23102.005000000001</v>
      </c>
      <c r="BB115">
        <f ca="1">IFERROR(IF(0=LEN(ReferenceData!$BB$115),"",ReferenceData!$BB$115),"")</f>
        <v>22536.281999999999</v>
      </c>
      <c r="BC115">
        <f ca="1">IFERROR(IF(0=LEN(ReferenceData!$BC$115),"",ReferenceData!$BC$115),"")</f>
        <v>21813.361000000001</v>
      </c>
      <c r="BD115">
        <f ca="1">IFERROR(IF(0=LEN(ReferenceData!$BD$115),"",ReferenceData!$BD$115),"")</f>
        <v>21525.82</v>
      </c>
      <c r="BE115">
        <f ca="1">IFERROR(IF(0=LEN(ReferenceData!$BE$115),"",ReferenceData!$BE$115),"")</f>
        <v>21749.819</v>
      </c>
      <c r="BF115">
        <f ca="1">IFERROR(IF(0=LEN(ReferenceData!$BF$115),"",ReferenceData!$BF$115),"")</f>
        <v>21968.901999999998</v>
      </c>
      <c r="BG115">
        <f ca="1">IFERROR(IF(0=LEN(ReferenceData!$BG$115),"",ReferenceData!$BG$115),"")</f>
        <v>21813.203000000001</v>
      </c>
      <c r="BH115">
        <f ca="1">IFERROR(IF(0=LEN(ReferenceData!$BH$115),"",ReferenceData!$BH$115),"")</f>
        <v>21872.774000000001</v>
      </c>
      <c r="BI115">
        <f ca="1">IFERROR(IF(0=LEN(ReferenceData!$BI$115),"",ReferenceData!$BI$115),"")</f>
        <v>21147.080999999998</v>
      </c>
      <c r="BJ115">
        <f ca="1">IFERROR(IF(0=LEN(ReferenceData!$BJ$115),"",ReferenceData!$BJ$115),"")</f>
        <v>20700.642</v>
      </c>
      <c r="BK115">
        <f ca="1">IFERROR(IF(0=LEN(ReferenceData!$BK$115),"",ReferenceData!$BK$115),"")</f>
        <v>20417.394</v>
      </c>
      <c r="BL115">
        <f ca="1">IFERROR(IF(0=LEN(ReferenceData!$BL$115),"",ReferenceData!$BL$115),"")</f>
        <v>19967.321</v>
      </c>
      <c r="BM115">
        <f ca="1">IFERROR(IF(0=LEN(ReferenceData!$BM$115),"",ReferenceData!$BM$115),"")</f>
        <v>20299.175999999999</v>
      </c>
    </row>
    <row r="116" spans="1:65" x14ac:dyDescent="0.25">
      <c r="A116" t="str">
        <f>IFERROR(IF(0=LEN(ReferenceData!$A$116),"",ReferenceData!$A$116),"")</f>
        <v xml:space="preserve">            Fifth Third Bancorp</v>
      </c>
      <c r="B116" t="str">
        <f>IFERROR(IF(0=LEN(ReferenceData!$B$116),"",ReferenceData!$B$116),"")</f>
        <v>FITB US Equity</v>
      </c>
      <c r="C116" t="str">
        <f>IFERROR(IF(0=LEN(ReferenceData!$C$116),"",ReferenceData!$C$116),"")</f>
        <v>FC001</v>
      </c>
      <c r="D116" t="str">
        <f>IFERROR(IF(0=LEN(ReferenceData!$D$116),"",ReferenceData!$D$116),"")</f>
        <v>FDIC_TOTAL_ASSETS</v>
      </c>
      <c r="E116" t="str">
        <f>IFERROR(IF(0=LEN(ReferenceData!$E$116),"",ReferenceData!$E$116),"")</f>
        <v>Dynamic</v>
      </c>
      <c r="F116">
        <f ca="1">IFERROR(IF(0=LEN(ReferenceData!$F$116),"",ReferenceData!$F$116),"")</f>
        <v>212927</v>
      </c>
      <c r="G116">
        <f ca="1">IFERROR(IF(0=LEN(ReferenceData!$G$116),"",ReferenceData!$G$116),"")</f>
        <v>214318</v>
      </c>
      <c r="H116">
        <f ca="1">IFERROR(IF(0=LEN(ReferenceData!$H$116),"",ReferenceData!$H$116),"")</f>
        <v>213262</v>
      </c>
      <c r="I116">
        <f ca="1">IFERROR(IF(0=LEN(ReferenceData!$I$116),"",ReferenceData!$I$116),"")</f>
        <v>214506</v>
      </c>
      <c r="J116">
        <f ca="1">IFERROR(IF(0=LEN(ReferenceData!$J$116),"",ReferenceData!$J$116),"")</f>
        <v>214574</v>
      </c>
      <c r="K116">
        <f ca="1">IFERROR(IF(0=LEN(ReferenceData!$K$116),"",ReferenceData!$K$116),"")</f>
        <v>212967</v>
      </c>
      <c r="L116">
        <f ca="1">IFERROR(IF(0=LEN(ReferenceData!$L$116),"",ReferenceData!$L$116),"")</f>
        <v>207276</v>
      </c>
      <c r="M116">
        <f ca="1">IFERROR(IF(0=LEN(ReferenceData!$M$116),"",ReferenceData!$M$116),"")</f>
        <v>208657</v>
      </c>
      <c r="N116">
        <f ca="1">IFERROR(IF(0=LEN(ReferenceData!$N$116),"",ReferenceData!$N$116),"")</f>
        <v>207452.35699999999</v>
      </c>
      <c r="O116">
        <f ca="1">IFERROR(IF(0=LEN(ReferenceData!$O$116),"",ReferenceData!$O$116),"")</f>
        <v>205463.245</v>
      </c>
      <c r="P116">
        <f ca="1">IFERROR(IF(0=LEN(ReferenceData!$P$116),"",ReferenceData!$P$116),"")</f>
        <v>206782.16800000001</v>
      </c>
      <c r="Q116">
        <f ca="1">IFERROR(IF(0=LEN(ReferenceData!$Q$116),"",ReferenceData!$Q$116),"")</f>
        <v>211458.82199999999</v>
      </c>
      <c r="R116">
        <f ca="1">IFERROR(IF(0=LEN(ReferenceData!$R$116),"",ReferenceData!$R$116),"")</f>
        <v>211115.886</v>
      </c>
      <c r="S116">
        <f ca="1">IFERROR(IF(0=LEN(ReferenceData!$S$116),"",ReferenceData!$S$116),"")</f>
        <v>207730.84099999999</v>
      </c>
      <c r="T116">
        <f ca="1">IFERROR(IF(0=LEN(ReferenceData!$T$116),"",ReferenceData!$T$116),"")</f>
        <v>205389.95800000001</v>
      </c>
      <c r="U116">
        <f ca="1">IFERROR(IF(0=LEN(ReferenceData!$U$116),"",ReferenceData!$U$116),"")</f>
        <v>206899.448</v>
      </c>
      <c r="V116">
        <f ca="1">IFERROR(IF(0=LEN(ReferenceData!$V$116),"",ReferenceData!$V$116),"")</f>
        <v>204679.93299999999</v>
      </c>
      <c r="W116">
        <f ca="1">IFERROR(IF(0=LEN(ReferenceData!$W$116),"",ReferenceData!$W$116),"")</f>
        <v>201995.87700000001</v>
      </c>
      <c r="X116">
        <f ca="1">IFERROR(IF(0=LEN(ReferenceData!$X$116),"",ReferenceData!$X$116),"")</f>
        <v>202905.62400000001</v>
      </c>
      <c r="Y116">
        <f ca="1">IFERROR(IF(0=LEN(ReferenceData!$Y$116),"",ReferenceData!$Y$116),"")</f>
        <v>185391.07</v>
      </c>
      <c r="Z116">
        <f ca="1">IFERROR(IF(0=LEN(ReferenceData!$Z$116),"",ReferenceData!$Z$116),"")</f>
        <v>169369.16899999999</v>
      </c>
      <c r="AA116">
        <f ca="1">IFERROR(IF(0=LEN(ReferenceData!$AA$116),"",ReferenceData!$AA$116),"")</f>
        <v>171078.86900000001</v>
      </c>
      <c r="AB116">
        <f ca="1">IFERROR(IF(0=LEN(ReferenceData!$AB$116),"",ReferenceData!$AB$116),"")</f>
        <v>168802.05799999999</v>
      </c>
      <c r="AC116">
        <f ca="1">IFERROR(IF(0=LEN(ReferenceData!$AC$116),"",ReferenceData!$AC$116),"")</f>
        <v>167853.32800000001</v>
      </c>
      <c r="AD116">
        <f ca="1">IFERROR(IF(0=LEN(ReferenceData!$AD$116),"",ReferenceData!$AD$116),"")</f>
        <v>146069.35500000001</v>
      </c>
      <c r="AE116">
        <f ca="1">IFERROR(IF(0=LEN(ReferenceData!$AE$116),"",ReferenceData!$AE$116),"")</f>
        <v>141684.87899999999</v>
      </c>
      <c r="AF116">
        <f ca="1">IFERROR(IF(0=LEN(ReferenceData!$AF$116),"",ReferenceData!$AF$116),"")</f>
        <v>140695.25599999999</v>
      </c>
      <c r="AG116">
        <f ca="1">IFERROR(IF(0=LEN(ReferenceData!$AG$116),"",ReferenceData!$AG$116),"")</f>
        <v>141500.435</v>
      </c>
      <c r="AH116">
        <f ca="1">IFERROR(IF(0=LEN(ReferenceData!$AH$116),"",ReferenceData!$AH$116),"")</f>
        <v>142193.41</v>
      </c>
      <c r="AI116">
        <f ca="1">IFERROR(IF(0=LEN(ReferenceData!$AI$116),"",ReferenceData!$AI$116),"")</f>
        <v>142264.09700000001</v>
      </c>
      <c r="AJ116">
        <f ca="1">IFERROR(IF(0=LEN(ReferenceData!$AJ$116),"",ReferenceData!$AJ$116),"")</f>
        <v>141066.72500000001</v>
      </c>
      <c r="AK116">
        <f ca="1">IFERROR(IF(0=LEN(ReferenceData!$AK$116),"",ReferenceData!$AK$116),"")</f>
        <v>140199.62599999999</v>
      </c>
      <c r="AL116">
        <f ca="1">IFERROR(IF(0=LEN(ReferenceData!$AL$116),"",ReferenceData!$AL$116),"")</f>
        <v>142176.82999999999</v>
      </c>
      <c r="AM116">
        <f ca="1">IFERROR(IF(0=LEN(ReferenceData!$AM$116),"",ReferenceData!$AM$116),"")</f>
        <v>143278.886</v>
      </c>
      <c r="AN116">
        <f ca="1">IFERROR(IF(0=LEN(ReferenceData!$AN$116),"",ReferenceData!$AN$116),"")</f>
        <v>143625.32500000001</v>
      </c>
      <c r="AO116">
        <f ca="1">IFERROR(IF(0=LEN(ReferenceData!$AO$116),"",ReferenceData!$AO$116),"")</f>
        <v>142430.20699999999</v>
      </c>
      <c r="AP116">
        <f ca="1">IFERROR(IF(0=LEN(ReferenceData!$AP$116),"",ReferenceData!$AP$116),"")</f>
        <v>141082.05900000001</v>
      </c>
      <c r="AQ116">
        <f ca="1">IFERROR(IF(0=LEN(ReferenceData!$AQ$116),"",ReferenceData!$AQ$116),"")</f>
        <v>141917.76300000001</v>
      </c>
      <c r="AR116">
        <f ca="1">IFERROR(IF(0=LEN(ReferenceData!$AR$116),"",ReferenceData!$AR$116),"")</f>
        <v>141658.13</v>
      </c>
      <c r="AS116">
        <f ca="1">IFERROR(IF(0=LEN(ReferenceData!$AS$116),"",ReferenceData!$AS$116),"")</f>
        <v>140469.916</v>
      </c>
      <c r="AT116">
        <f ca="1">IFERROR(IF(0=LEN(ReferenceData!$AT$116),"",ReferenceData!$AT$116),"")</f>
        <v>138705.64000000001</v>
      </c>
      <c r="AU116">
        <f ca="1">IFERROR(IF(0=LEN(ReferenceData!$AU$116),"",ReferenceData!$AU$116),"")</f>
        <v>134187.72200000001</v>
      </c>
      <c r="AV116">
        <f ca="1">IFERROR(IF(0=LEN(ReferenceData!$AV$116),"",ReferenceData!$AV$116),"")</f>
        <v>132562.38200000001</v>
      </c>
      <c r="AW116">
        <f ca="1">IFERROR(IF(0=LEN(ReferenceData!$AW$116),"",ReferenceData!$AW$116),"")</f>
        <v>129654.48699999999</v>
      </c>
      <c r="AX116">
        <f ca="1">IFERROR(IF(0=LEN(ReferenceData!$AX$116),"",ReferenceData!$AX$116),"")</f>
        <v>130442.754</v>
      </c>
      <c r="AY116">
        <f ca="1">IFERROR(IF(0=LEN(ReferenceData!$AY$116),"",ReferenceData!$AY$116),"")</f>
        <v>125672.96400000001</v>
      </c>
      <c r="AZ116">
        <f ca="1">IFERROR(IF(0=LEN(ReferenceData!$AZ$116),"",ReferenceData!$AZ$116),"")</f>
        <v>123360.351</v>
      </c>
      <c r="BA116">
        <f ca="1">IFERROR(IF(0=LEN(ReferenceData!$BA$116),"",ReferenceData!$BA$116),"")</f>
        <v>121381.537</v>
      </c>
      <c r="BB116">
        <f ca="1">IFERROR(IF(0=LEN(ReferenceData!$BB$116),"",ReferenceData!$BB$116),"")</f>
        <v>121893.74800000001</v>
      </c>
      <c r="BC116">
        <f ca="1">IFERROR(IF(0=LEN(ReferenceData!$BC$116),"",ReferenceData!$BC$116),"")</f>
        <v>117482.86900000001</v>
      </c>
      <c r="BD116">
        <f ca="1">IFERROR(IF(0=LEN(ReferenceData!$BD$116),"",ReferenceData!$BD$116),"")</f>
        <v>117542.579</v>
      </c>
      <c r="BE116">
        <f ca="1">IFERROR(IF(0=LEN(ReferenceData!$BE$116),"",ReferenceData!$BE$116),"")</f>
        <v>116747.098</v>
      </c>
      <c r="BF116">
        <f ca="1">IFERROR(IF(0=LEN(ReferenceData!$BF$116),"",ReferenceData!$BF$116),"")</f>
        <v>116966.697</v>
      </c>
      <c r="BG116">
        <f ca="1">IFERROR(IF(0=LEN(ReferenceData!$BG$116),"",ReferenceData!$BG$116),"")</f>
        <v>114904.74099999999</v>
      </c>
      <c r="BH116">
        <f ca="1">IFERROR(IF(0=LEN(ReferenceData!$BH$116),"",ReferenceData!$BH$116),"")</f>
        <v>110804.76</v>
      </c>
      <c r="BI116">
        <f ca="1">IFERROR(IF(0=LEN(ReferenceData!$BI$116),"",ReferenceData!$BI$116),"")</f>
        <v>110484.94500000001</v>
      </c>
      <c r="BJ116">
        <f ca="1">IFERROR(IF(0=LEN(ReferenceData!$BJ$116),"",ReferenceData!$BJ$116),"")</f>
        <v>111006.77800000001</v>
      </c>
      <c r="BK116">
        <f ca="1">IFERROR(IF(0=LEN(ReferenceData!$BK$116),"",ReferenceData!$BK$116),"")</f>
        <v>112322.07799999999</v>
      </c>
      <c r="BL116">
        <f ca="1">IFERROR(IF(0=LEN(ReferenceData!$BL$116),"",ReferenceData!$BL$116),"")</f>
        <v>112025.234</v>
      </c>
      <c r="BM116" t="str">
        <f ca="1">IFERROR(IF(0=LEN(ReferenceData!$BM$116),"",ReferenceData!$BM$116),"")</f>
        <v/>
      </c>
    </row>
    <row r="117" spans="1:65" x14ac:dyDescent="0.25">
      <c r="A117" t="str">
        <f>IFERROR(IF(0=LEN(ReferenceData!$A$117),"",ReferenceData!$A$117),"")</f>
        <v xml:space="preserve">            First Citizens BancShares Inc/</v>
      </c>
      <c r="B117" t="str">
        <f>IFERROR(IF(0=LEN(ReferenceData!$B$117),"",ReferenceData!$B$117),"")</f>
        <v>FCNCA US Equity</v>
      </c>
      <c r="C117" t="str">
        <f>IFERROR(IF(0=LEN(ReferenceData!$C$117),"",ReferenceData!$C$117),"")</f>
        <v>FC001</v>
      </c>
      <c r="D117" t="str">
        <f>IFERROR(IF(0=LEN(ReferenceData!$D$117),"",ReferenceData!$D$117),"")</f>
        <v>FDIC_TOTAL_ASSETS</v>
      </c>
      <c r="E117" t="str">
        <f>IFERROR(IF(0=LEN(ReferenceData!$E$117),"",ReferenceData!$E$117),"")</f>
        <v>Dynamic</v>
      </c>
      <c r="F117">
        <f ca="1">IFERROR(IF(0=LEN(ReferenceData!$F$117),"",ReferenceData!$F$117),"")</f>
        <v>223720</v>
      </c>
      <c r="G117">
        <f ca="1">IFERROR(IF(0=LEN(ReferenceData!$G$117),"",ReferenceData!$G$117),"")</f>
        <v>220567</v>
      </c>
      <c r="H117">
        <f ca="1">IFERROR(IF(0=LEN(ReferenceData!$H$117),"",ReferenceData!$H$117),"")</f>
        <v>219832</v>
      </c>
      <c r="I117">
        <f ca="1">IFERROR(IF(0=LEN(ReferenceData!$I$117),"",ReferenceData!$I$117),"")</f>
        <v>217855</v>
      </c>
      <c r="J117">
        <f ca="1">IFERROR(IF(0=LEN(ReferenceData!$J$117),"",ReferenceData!$J$117),"")</f>
        <v>213766.628</v>
      </c>
      <c r="K117">
        <f ca="1">IFERROR(IF(0=LEN(ReferenceData!$K$117),"",ReferenceData!$K$117),"")</f>
        <v>213766.3</v>
      </c>
      <c r="L117">
        <f ca="1">IFERROR(IF(0=LEN(ReferenceData!$L$117),"",ReferenceData!$L$117),"")</f>
        <v>209515.076</v>
      </c>
      <c r="M117">
        <f ca="1">IFERROR(IF(0=LEN(ReferenceData!$M$117),"",ReferenceData!$M$117),"")</f>
        <v>214710.674</v>
      </c>
      <c r="N117">
        <f ca="1">IFERROR(IF(0=LEN(ReferenceData!$N$117),"",ReferenceData!$N$117),"")</f>
        <v>109298.424</v>
      </c>
      <c r="O117">
        <f ca="1">IFERROR(IF(0=LEN(ReferenceData!$O$117),"",ReferenceData!$O$117),"")</f>
        <v>109310.039</v>
      </c>
      <c r="P117">
        <f ca="1">IFERROR(IF(0=LEN(ReferenceData!$P$117),"",ReferenceData!$P$117),"")</f>
        <v>107672.569</v>
      </c>
      <c r="Q117">
        <f ca="1">IFERROR(IF(0=LEN(ReferenceData!$Q$117),"",ReferenceData!$Q$117),"")</f>
        <v>108596.694</v>
      </c>
      <c r="R117">
        <f ca="1">IFERROR(IF(0=LEN(ReferenceData!$R$117),"",ReferenceData!$R$117),"")</f>
        <v>58308.14</v>
      </c>
      <c r="S117">
        <f ca="1">IFERROR(IF(0=LEN(ReferenceData!$S$117),"",ReferenceData!$S$117),"")</f>
        <v>56901.976999999999</v>
      </c>
      <c r="T117">
        <f ca="1">IFERROR(IF(0=LEN(ReferenceData!$T$117),"",ReferenceData!$T$117),"")</f>
        <v>55175.317999999999</v>
      </c>
      <c r="U117">
        <f ca="1">IFERROR(IF(0=LEN(ReferenceData!$U$117),"",ReferenceData!$U$117),"")</f>
        <v>53908.606</v>
      </c>
      <c r="V117">
        <f ca="1">IFERROR(IF(0=LEN(ReferenceData!$V$117),"",ReferenceData!$V$117),"")</f>
        <v>49957.68</v>
      </c>
      <c r="W117">
        <f ca="1">IFERROR(IF(0=LEN(ReferenceData!$W$117),"",ReferenceData!$W$117),"")</f>
        <v>48666.873</v>
      </c>
      <c r="X117">
        <f ca="1">IFERROR(IF(0=LEN(ReferenceData!$X$117),"",ReferenceData!$X$117),"")</f>
        <v>47866.194000000003</v>
      </c>
      <c r="Y117">
        <f ca="1">IFERROR(IF(0=LEN(ReferenceData!$Y$117),"",ReferenceData!$Y$117),"")</f>
        <v>41594.453000000001</v>
      </c>
      <c r="Z117">
        <f ca="1">IFERROR(IF(0=LEN(ReferenceData!$Z$117),"",ReferenceData!$Z$117),"")</f>
        <v>39824.495999999999</v>
      </c>
      <c r="AA117">
        <f ca="1">IFERROR(IF(0=LEN(ReferenceData!$AA$117),"",ReferenceData!$AA$117),"")</f>
        <v>37748.324000000001</v>
      </c>
      <c r="AB117">
        <f ca="1">IFERROR(IF(0=LEN(ReferenceData!$AB$117),"",ReferenceData!$AB$117),"")</f>
        <v>37655.093999999997</v>
      </c>
      <c r="AC117">
        <f ca="1">IFERROR(IF(0=LEN(ReferenceData!$AC$117),"",ReferenceData!$AC$117),"")</f>
        <v>35961.67</v>
      </c>
      <c r="AD117">
        <f ca="1">IFERROR(IF(0=LEN(ReferenceData!$AD$117),"",ReferenceData!$AD$117),"")</f>
        <v>35408.629000000001</v>
      </c>
      <c r="AE117">
        <f ca="1">IFERROR(IF(0=LEN(ReferenceData!$AE$117),"",ReferenceData!$AE$117),"")</f>
        <v>34954.659</v>
      </c>
      <c r="AF117">
        <f ca="1">IFERROR(IF(0=LEN(ReferenceData!$AF$117),"",ReferenceData!$AF$117),"")</f>
        <v>35088.565999999999</v>
      </c>
      <c r="AG117">
        <f ca="1">IFERROR(IF(0=LEN(ReferenceData!$AG$117),"",ReferenceData!$AG$117),"")</f>
        <v>34436.436999999998</v>
      </c>
      <c r="AH117">
        <f ca="1">IFERROR(IF(0=LEN(ReferenceData!$AH$117),"",ReferenceData!$AH$117),"")</f>
        <v>34527.512000000002</v>
      </c>
      <c r="AI117">
        <f ca="1">IFERROR(IF(0=LEN(ReferenceData!$AI$117),"",ReferenceData!$AI$117),"")</f>
        <v>34584.154000000002</v>
      </c>
      <c r="AJ117">
        <f ca="1">IFERROR(IF(0=LEN(ReferenceData!$AJ$117),"",ReferenceData!$AJ$117),"")</f>
        <v>34769.85</v>
      </c>
      <c r="AK117">
        <f ca="1">IFERROR(IF(0=LEN(ReferenceData!$AK$117),"",ReferenceData!$AK$117),"")</f>
        <v>34018.404999999999</v>
      </c>
      <c r="AL117">
        <f ca="1">IFERROR(IF(0=LEN(ReferenceData!$AL$117),"",ReferenceData!$AL$117),"")</f>
        <v>32990.836000000003</v>
      </c>
      <c r="AM117">
        <f ca="1">IFERROR(IF(0=LEN(ReferenceData!$AM$117),"",ReferenceData!$AM$117),"")</f>
        <v>32971.910000000003</v>
      </c>
      <c r="AN117">
        <f ca="1">IFERROR(IF(0=LEN(ReferenceData!$AN$117),"",ReferenceData!$AN$117),"")</f>
        <v>32230.402999999998</v>
      </c>
      <c r="AO117">
        <f ca="1">IFERROR(IF(0=LEN(ReferenceData!$AO$117),"",ReferenceData!$AO$117),"")</f>
        <v>32195.656999999999</v>
      </c>
      <c r="AP117">
        <f ca="1">IFERROR(IF(0=LEN(ReferenceData!$AP$117),"",ReferenceData!$AP$117),"")</f>
        <v>31475.934000000001</v>
      </c>
      <c r="AQ117">
        <f ca="1">IFERROR(IF(0=LEN(ReferenceData!$AQ$117),"",ReferenceData!$AQ$117),"")</f>
        <v>31449.824000000001</v>
      </c>
      <c r="AR117">
        <f ca="1">IFERROR(IF(0=LEN(ReferenceData!$AR$117),"",ReferenceData!$AR$117),"")</f>
        <v>30896.855</v>
      </c>
      <c r="AS117">
        <f ca="1">IFERROR(IF(0=LEN(ReferenceData!$AS$117),"",ReferenceData!$AS$117),"")</f>
        <v>30853.649000000001</v>
      </c>
      <c r="AT117">
        <f ca="1">IFERROR(IF(0=LEN(ReferenceData!$AT$117),"",ReferenceData!$AT$117),"")</f>
        <v>30075.113000000001</v>
      </c>
      <c r="AU117">
        <f ca="1">IFERROR(IF(0=LEN(ReferenceData!$AU$117),"",ReferenceData!$AU$117),"")</f>
        <v>21942.491000000002</v>
      </c>
      <c r="AV117">
        <f ca="1">IFERROR(IF(0=LEN(ReferenceData!$AV$117),"",ReferenceData!$AV$117),"")</f>
        <v>22062.84</v>
      </c>
      <c r="AW117">
        <f ca="1">IFERROR(IF(0=LEN(ReferenceData!$AW$117),"",ReferenceData!$AW$117),"")</f>
        <v>22154.996999999999</v>
      </c>
      <c r="AX117">
        <f ca="1">IFERROR(IF(0=LEN(ReferenceData!$AX$117),"",ReferenceData!$AX$117),"")</f>
        <v>21199.091</v>
      </c>
      <c r="AY117">
        <f ca="1">IFERROR(IF(0=LEN(ReferenceData!$AY$117),"",ReferenceData!$AY$117),"")</f>
        <v>21511.351999999999</v>
      </c>
      <c r="AZ117">
        <f ca="1">IFERROR(IF(0=LEN(ReferenceData!$AZ$117),"",ReferenceData!$AZ$117),"")</f>
        <v>21308.822</v>
      </c>
      <c r="BA117">
        <f ca="1">IFERROR(IF(0=LEN(ReferenceData!$BA$117),"",ReferenceData!$BA$117),"")</f>
        <v>21351.011999999999</v>
      </c>
      <c r="BB117">
        <f ca="1">IFERROR(IF(0=LEN(ReferenceData!$BB$117),"",ReferenceData!$BB$117),"")</f>
        <v>21283.651000000002</v>
      </c>
      <c r="BC117">
        <f ca="1">IFERROR(IF(0=LEN(ReferenceData!$BC$117),"",ReferenceData!$BC$117),"")</f>
        <v>21173.618999999999</v>
      </c>
      <c r="BD117">
        <f ca="1">IFERROR(IF(0=LEN(ReferenceData!$BD$117),"",ReferenceData!$BD$117),"")</f>
        <v>21240.99</v>
      </c>
      <c r="BE117">
        <f ca="1">IFERROR(IF(0=LEN(ReferenceData!$BE$117),"",ReferenceData!$BE$117),"")</f>
        <v>21143.628000000001</v>
      </c>
      <c r="BF117">
        <f ca="1">IFERROR(IF(0=LEN(ReferenceData!$BF$117),"",ReferenceData!$BF$117),"")</f>
        <v>20881.493999999999</v>
      </c>
      <c r="BG117">
        <f ca="1">IFERROR(IF(0=LEN(ReferenceData!$BG$117),"",ReferenceData!$BG$117),"")</f>
        <v>21015.345000000001</v>
      </c>
      <c r="BH117">
        <f ca="1">IFERROR(IF(0=LEN(ReferenceData!$BH$117),"",ReferenceData!$BH$117),"")</f>
        <v>21021.65</v>
      </c>
      <c r="BI117">
        <f ca="1">IFERROR(IF(0=LEN(ReferenceData!$BI$117),"",ReferenceData!$BI$117),"")</f>
        <v>21167.494999999999</v>
      </c>
      <c r="BJ117">
        <f ca="1">IFERROR(IF(0=LEN(ReferenceData!$BJ$117),"",ReferenceData!$BJ$117),"")</f>
        <v>20806.659</v>
      </c>
      <c r="BK117">
        <f ca="1">IFERROR(IF(0=LEN(ReferenceData!$BK$117),"",ReferenceData!$BK$117),"")</f>
        <v>21049.291000000001</v>
      </c>
      <c r="BL117">
        <f ca="1">IFERROR(IF(0=LEN(ReferenceData!$BL$117),"",ReferenceData!$BL$117),"")</f>
        <v>21105.769</v>
      </c>
      <c r="BM117" t="str">
        <f ca="1">IFERROR(IF(0=LEN(ReferenceData!$BM$117),"",ReferenceData!$BM$117),"")</f>
        <v/>
      </c>
    </row>
    <row r="118" spans="1:65" x14ac:dyDescent="0.25">
      <c r="A118" t="str">
        <f>IFERROR(IF(0=LEN(ReferenceData!$A$118),"",ReferenceData!$A$118),"")</f>
        <v xml:space="preserve">            Flagstar Financial Inc</v>
      </c>
      <c r="B118" t="str">
        <f>IFERROR(IF(0=LEN(ReferenceData!$B$118),"",ReferenceData!$B$118),"")</f>
        <v>FLG US Equity</v>
      </c>
      <c r="C118" t="str">
        <f>IFERROR(IF(0=LEN(ReferenceData!$C$118),"",ReferenceData!$C$118),"")</f>
        <v>FC001</v>
      </c>
      <c r="D118" t="str">
        <f>IFERROR(IF(0=LEN(ReferenceData!$D$118),"",ReferenceData!$D$118),"")</f>
        <v>FDIC_TOTAL_ASSETS</v>
      </c>
      <c r="E118" t="str">
        <f>IFERROR(IF(0=LEN(ReferenceData!$E$118),"",ReferenceData!$E$118),"")</f>
        <v>Dynamic</v>
      </c>
      <c r="F118" t="str">
        <f ca="1">IFERROR(IF(0=LEN(ReferenceData!$F$118),"",ReferenceData!$F$118),"")</f>
        <v/>
      </c>
      <c r="G118">
        <f ca="1">IFERROR(IF(0=LEN(ReferenceData!$G$118),"",ReferenceData!$G$118),"")</f>
        <v>114366.51</v>
      </c>
      <c r="H118">
        <f ca="1">IFERROR(IF(0=LEN(ReferenceData!$H$118),"",ReferenceData!$H$118),"")</f>
        <v>119055.231</v>
      </c>
      <c r="I118">
        <f ca="1">IFERROR(IF(0=LEN(ReferenceData!$I$118),"",ReferenceData!$I$118),"")</f>
        <v>112899.652</v>
      </c>
      <c r="J118">
        <f ca="1">IFERROR(IF(0=LEN(ReferenceData!$J$118),"",ReferenceData!$J$118),"")</f>
        <v>114056.674</v>
      </c>
      <c r="K118">
        <f ca="1">IFERROR(IF(0=LEN(ReferenceData!$K$118),"",ReferenceData!$K$118),"")</f>
        <v>111229.935</v>
      </c>
      <c r="L118">
        <f ca="1">IFERROR(IF(0=LEN(ReferenceData!$L$118),"",ReferenceData!$L$118),"")</f>
        <v>118796.42600000001</v>
      </c>
      <c r="M118">
        <f ca="1">IFERROR(IF(0=LEN(ReferenceData!$M$118),"",ReferenceData!$M$118),"")</f>
        <v>123706.375</v>
      </c>
      <c r="N118">
        <f ca="1">IFERROR(IF(0=LEN(ReferenceData!$N$118),"",ReferenceData!$N$118),"")</f>
        <v>90144.301999999996</v>
      </c>
      <c r="O118">
        <f ca="1">IFERROR(IF(0=LEN(ReferenceData!$O$118),"",ReferenceData!$O$118),"")</f>
        <v>62956.248</v>
      </c>
      <c r="P118">
        <f ca="1">IFERROR(IF(0=LEN(ReferenceData!$P$118),"",ReferenceData!$P$118),"")</f>
        <v>63093.283000000003</v>
      </c>
      <c r="Q118">
        <f ca="1">IFERROR(IF(0=LEN(ReferenceData!$Q$118),"",ReferenceData!$Q$118),"")</f>
        <v>61005.398000000001</v>
      </c>
      <c r="R118">
        <f ca="1">IFERROR(IF(0=LEN(ReferenceData!$R$118),"",ReferenceData!$R$118),"")</f>
        <v>59527.144</v>
      </c>
      <c r="S118">
        <f ca="1">IFERROR(IF(0=LEN(ReferenceData!$S$118),"",ReferenceData!$S$118),"")</f>
        <v>57890.106</v>
      </c>
      <c r="T118">
        <f ca="1">IFERROR(IF(0=LEN(ReferenceData!$T$118),"",ReferenceData!$T$118),"")</f>
        <v>57468.934000000001</v>
      </c>
      <c r="U118">
        <f ca="1">IFERROR(IF(0=LEN(ReferenceData!$U$118),"",ReferenceData!$U$118),"")</f>
        <v>57656.892</v>
      </c>
      <c r="V118">
        <f ca="1">IFERROR(IF(0=LEN(ReferenceData!$V$118),"",ReferenceData!$V$118),"")</f>
        <v>56306.12</v>
      </c>
      <c r="W118">
        <f ca="1">IFERROR(IF(0=LEN(ReferenceData!$W$118),"",ReferenceData!$W$118),"")</f>
        <v>54931.754999999997</v>
      </c>
      <c r="X118">
        <f ca="1">IFERROR(IF(0=LEN(ReferenceData!$X$118),"",ReferenceData!$X$118),"")</f>
        <v>54210.415999999997</v>
      </c>
      <c r="Y118">
        <f ca="1">IFERROR(IF(0=LEN(ReferenceData!$Y$118),"",ReferenceData!$Y$118),"")</f>
        <v>54261.093000000001</v>
      </c>
      <c r="Z118">
        <f ca="1">IFERROR(IF(0=LEN(ReferenceData!$Z$118),"",ReferenceData!$Z$118),"")</f>
        <v>53640.821000000004</v>
      </c>
      <c r="AA118">
        <f ca="1">IFERROR(IF(0=LEN(ReferenceData!$AA$118),"",ReferenceData!$AA$118),"")</f>
        <v>52537.629000000001</v>
      </c>
      <c r="AB118">
        <f ca="1">IFERROR(IF(0=LEN(ReferenceData!$AB$118),"",ReferenceData!$AB$118),"")</f>
        <v>52776.254000000001</v>
      </c>
      <c r="AC118">
        <f ca="1">IFERROR(IF(0=LEN(ReferenceData!$AC$118),"",ReferenceData!$AC$118),"")</f>
        <v>52131.044999999998</v>
      </c>
      <c r="AD118">
        <f ca="1">IFERROR(IF(0=LEN(ReferenceData!$AD$118),"",ReferenceData!$AD$118),"")</f>
        <v>51899.375999999997</v>
      </c>
      <c r="AE118">
        <f ca="1">IFERROR(IF(0=LEN(ReferenceData!$AE$118),"",ReferenceData!$AE$118),"")</f>
        <v>51246.654000000002</v>
      </c>
      <c r="AF118">
        <f ca="1">IFERROR(IF(0=LEN(ReferenceData!$AF$118),"",ReferenceData!$AF$118),"")</f>
        <v>50469.17</v>
      </c>
      <c r="AG118">
        <f ca="1">IFERROR(IF(0=LEN(ReferenceData!$AG$118),"",ReferenceData!$AG$118),"")</f>
        <v>49654.874000000003</v>
      </c>
      <c r="AH118">
        <f ca="1">IFERROR(IF(0=LEN(ReferenceData!$AH$118),"",ReferenceData!$AH$118),"")</f>
        <v>49124.195</v>
      </c>
      <c r="AI118">
        <f ca="1">IFERROR(IF(0=LEN(ReferenceData!$AI$118),"",ReferenceData!$AI$118),"")</f>
        <v>48457.891000000003</v>
      </c>
      <c r="AJ118">
        <f ca="1">IFERROR(IF(0=LEN(ReferenceData!$AJ$118),"",ReferenceData!$AJ$118),"")</f>
        <v>48347.658000000003</v>
      </c>
      <c r="AK118">
        <f ca="1">IFERROR(IF(0=LEN(ReferenceData!$AK$118),"",ReferenceData!$AK$118),"")</f>
        <v>48824.563999999998</v>
      </c>
      <c r="AL118">
        <f ca="1">IFERROR(IF(0=LEN(ReferenceData!$AL$118),"",ReferenceData!$AL$118),"")</f>
        <v>48926.555</v>
      </c>
      <c r="AM118">
        <f ca="1">IFERROR(IF(0=LEN(ReferenceData!$AM$118),"",ReferenceData!$AM$118),"")</f>
        <v>49462.62</v>
      </c>
      <c r="AN118">
        <f ca="1">IFERROR(IF(0=LEN(ReferenceData!$AN$118),"",ReferenceData!$AN$118),"")</f>
        <v>49035.747000000003</v>
      </c>
      <c r="AO118">
        <f ca="1">IFERROR(IF(0=LEN(ReferenceData!$AO$118),"",ReferenceData!$AO$118),"")</f>
        <v>48515.572</v>
      </c>
      <c r="AP118">
        <f ca="1">IFERROR(IF(0=LEN(ReferenceData!$AP$118),"",ReferenceData!$AP$118),"")</f>
        <v>50317.796000000002</v>
      </c>
      <c r="AQ118">
        <f ca="1">IFERROR(IF(0=LEN(ReferenceData!$AQ$118),"",ReferenceData!$AQ$118),"")</f>
        <v>49045.482000000004</v>
      </c>
      <c r="AR118">
        <f ca="1">IFERROR(IF(0=LEN(ReferenceData!$AR$118),"",ReferenceData!$AR$118),"")</f>
        <v>48648.531999999999</v>
      </c>
      <c r="AS118">
        <f ca="1">IFERROR(IF(0=LEN(ReferenceData!$AS$118),"",ReferenceData!$AS$118),"")</f>
        <v>48251.714999999997</v>
      </c>
      <c r="AT118">
        <f ca="1">IFERROR(IF(0=LEN(ReferenceData!$AT$118),"",ReferenceData!$AT$118),"")</f>
        <v>48559.216999999997</v>
      </c>
      <c r="AU118">
        <f ca="1">IFERROR(IF(0=LEN(ReferenceData!$AU$118),"",ReferenceData!$AU$118),"")</f>
        <v>48679.771999999997</v>
      </c>
      <c r="AV118">
        <f ca="1">IFERROR(IF(0=LEN(ReferenceData!$AV$118),"",ReferenceData!$AV$118),"")</f>
        <v>48604.771999999997</v>
      </c>
      <c r="AW118">
        <f ca="1">IFERROR(IF(0=LEN(ReferenceData!$AW$118),"",ReferenceData!$AW$118),"")</f>
        <v>47567.47</v>
      </c>
      <c r="AX118">
        <f ca="1">IFERROR(IF(0=LEN(ReferenceData!$AX$118),"",ReferenceData!$AX$118),"")</f>
        <v>46688.286999999997</v>
      </c>
      <c r="AY118">
        <f ca="1">IFERROR(IF(0=LEN(ReferenceData!$AY$118),"",ReferenceData!$AY$118),"")</f>
        <v>45764.133000000002</v>
      </c>
      <c r="AZ118">
        <f ca="1">IFERROR(IF(0=LEN(ReferenceData!$AZ$118),"",ReferenceData!$AZ$118),"")</f>
        <v>44185.838000000003</v>
      </c>
      <c r="BA118">
        <f ca="1">IFERROR(IF(0=LEN(ReferenceData!$BA$118),"",ReferenceData!$BA$118),"")</f>
        <v>44511.718000000001</v>
      </c>
      <c r="BB118">
        <f ca="1">IFERROR(IF(0=LEN(ReferenceData!$BB$118),"",ReferenceData!$BB$118),"")</f>
        <v>44149.466</v>
      </c>
      <c r="BC118">
        <f ca="1">IFERROR(IF(0=LEN(ReferenceData!$BC$118),"",ReferenceData!$BC$118),"")</f>
        <v>44075.366000000002</v>
      </c>
      <c r="BD118">
        <f ca="1">IFERROR(IF(0=LEN(ReferenceData!$BD$118),"",ReferenceData!$BD$118),"")</f>
        <v>43501.093999999997</v>
      </c>
      <c r="BE118">
        <f ca="1">IFERROR(IF(0=LEN(ReferenceData!$BE$118),"",ReferenceData!$BE$118),"")</f>
        <v>43042.45</v>
      </c>
      <c r="BF118">
        <f ca="1">IFERROR(IF(0=LEN(ReferenceData!$BF$118),"",ReferenceData!$BF$118),"")</f>
        <v>42026.245000000003</v>
      </c>
      <c r="BG118">
        <f ca="1">IFERROR(IF(0=LEN(ReferenceData!$BG$118),"",ReferenceData!$BG$118),"")</f>
        <v>41940.252999999997</v>
      </c>
      <c r="BH118">
        <f ca="1">IFERROR(IF(0=LEN(ReferenceData!$BH$118),"",ReferenceData!$BH$118),"")</f>
        <v>40612.271000000001</v>
      </c>
      <c r="BI118">
        <f ca="1">IFERROR(IF(0=LEN(ReferenceData!$BI$118),"",ReferenceData!$BI$118),"")</f>
        <v>41047.855000000003</v>
      </c>
      <c r="BJ118">
        <f ca="1">IFERROR(IF(0=LEN(ReferenceData!$BJ$118),"",ReferenceData!$BJ$118),"")</f>
        <v>41160.281000000003</v>
      </c>
      <c r="BK118">
        <f ca="1">IFERROR(IF(0=LEN(ReferenceData!$BK$118),"",ReferenceData!$BK$118),"")</f>
        <v>41719.226999999999</v>
      </c>
      <c r="BL118">
        <f ca="1">IFERROR(IF(0=LEN(ReferenceData!$BL$118),"",ReferenceData!$BL$118),"")</f>
        <v>42026.690999999999</v>
      </c>
      <c r="BM118">
        <f ca="1">IFERROR(IF(0=LEN(ReferenceData!$BM$118),"",ReferenceData!$BM$118),"")</f>
        <v>42446.03</v>
      </c>
    </row>
    <row r="119" spans="1:65" x14ac:dyDescent="0.25">
      <c r="A119" t="str">
        <f>IFERROR(IF(0=LEN(ReferenceData!$A$119),"",ReferenceData!$A$119),"")</f>
        <v xml:space="preserve">            Huntington Bancshares Inc/OH</v>
      </c>
      <c r="B119" t="str">
        <f>IFERROR(IF(0=LEN(ReferenceData!$B$119),"",ReferenceData!$B$119),"")</f>
        <v>HBAN US Equity</v>
      </c>
      <c r="C119" t="str">
        <f>IFERROR(IF(0=LEN(ReferenceData!$C$119),"",ReferenceData!$C$119),"")</f>
        <v>FC001</v>
      </c>
      <c r="D119" t="str">
        <f>IFERROR(IF(0=LEN(ReferenceData!$D$119),"",ReferenceData!$D$119),"")</f>
        <v>FDIC_TOTAL_ASSETS</v>
      </c>
      <c r="E119" t="str">
        <f>IFERROR(IF(0=LEN(ReferenceData!$E$119),"",ReferenceData!$E$119),"")</f>
        <v>Dynamic</v>
      </c>
      <c r="F119">
        <f ca="1">IFERROR(IF(0=LEN(ReferenceData!$F$119),"",ReferenceData!$F$119),"")</f>
        <v>204230.28400000001</v>
      </c>
      <c r="G119">
        <f ca="1">IFERROR(IF(0=LEN(ReferenceData!$G$119),"",ReferenceData!$G$119),"")</f>
        <v>200535.359</v>
      </c>
      <c r="H119">
        <f ca="1">IFERROR(IF(0=LEN(ReferenceData!$H$119),"",ReferenceData!$H$119),"")</f>
        <v>196310.177</v>
      </c>
      <c r="I119">
        <f ca="1">IFERROR(IF(0=LEN(ReferenceData!$I$119),"",ReferenceData!$I$119),"")</f>
        <v>193518.785</v>
      </c>
      <c r="J119">
        <f ca="1">IFERROR(IF(0=LEN(ReferenceData!$J$119),"",ReferenceData!$J$119),"")</f>
        <v>189368.21599999999</v>
      </c>
      <c r="K119">
        <f ca="1">IFERROR(IF(0=LEN(ReferenceData!$K$119),"",ReferenceData!$K$119),"")</f>
        <v>186649.799</v>
      </c>
      <c r="L119">
        <f ca="1">IFERROR(IF(0=LEN(ReferenceData!$L$119),"",ReferenceData!$L$119),"")</f>
        <v>188504.62599999999</v>
      </c>
      <c r="M119">
        <f ca="1">IFERROR(IF(0=LEN(ReferenceData!$M$119),"",ReferenceData!$M$119),"")</f>
        <v>189070.31200000001</v>
      </c>
      <c r="N119">
        <f ca="1">IFERROR(IF(0=LEN(ReferenceData!$N$119),"",ReferenceData!$N$119),"")</f>
        <v>182906.272</v>
      </c>
      <c r="O119">
        <f ca="1">IFERROR(IF(0=LEN(ReferenceData!$O$119),"",ReferenceData!$O$119),"")</f>
        <v>179402.155</v>
      </c>
      <c r="P119">
        <f ca="1">IFERROR(IF(0=LEN(ReferenceData!$P$119),"",ReferenceData!$P$119),"")</f>
        <v>178782.402</v>
      </c>
      <c r="Q119">
        <f ca="1">IFERROR(IF(0=LEN(ReferenceData!$Q$119),"",ReferenceData!$Q$119),"")</f>
        <v>176855.51800000001</v>
      </c>
      <c r="R119">
        <f ca="1">IFERROR(IF(0=LEN(ReferenceData!$R$119),"",ReferenceData!$R$119),"")</f>
        <v>174064.22899999999</v>
      </c>
      <c r="S119">
        <f ca="1">IFERROR(IF(0=LEN(ReferenceData!$S$119),"",ReferenceData!$S$119),"")</f>
        <v>173878.18400000001</v>
      </c>
      <c r="T119">
        <f ca="1">IFERROR(IF(0=LEN(ReferenceData!$T$119),"",ReferenceData!$T$119),"")</f>
        <v>175172.057</v>
      </c>
      <c r="U119">
        <f ca="1">IFERROR(IF(0=LEN(ReferenceData!$U$119),"",ReferenceData!$U$119),"")</f>
        <v>125767.69500000001</v>
      </c>
      <c r="V119">
        <f ca="1">IFERROR(IF(0=LEN(ReferenceData!$V$119),"",ReferenceData!$V$119),"")</f>
        <v>123037.648</v>
      </c>
      <c r="W119">
        <f ca="1">IFERROR(IF(0=LEN(ReferenceData!$W$119),"",ReferenceData!$W$119),"")</f>
        <v>120116.07399999999</v>
      </c>
      <c r="X119">
        <f ca="1">IFERROR(IF(0=LEN(ReferenceData!$X$119),"",ReferenceData!$X$119),"")</f>
        <v>118424.50599999999</v>
      </c>
      <c r="Y119">
        <f ca="1">IFERROR(IF(0=LEN(ReferenceData!$Y$119),"",ReferenceData!$Y$119),"")</f>
        <v>113897.24800000001</v>
      </c>
      <c r="Z119">
        <f ca="1">IFERROR(IF(0=LEN(ReferenceData!$Z$119),"",ReferenceData!$Z$119),"")</f>
        <v>109001.821</v>
      </c>
      <c r="AA119">
        <f ca="1">IFERROR(IF(0=LEN(ReferenceData!$AA$119),"",ReferenceData!$AA$119),"")</f>
        <v>108735.23299999999</v>
      </c>
      <c r="AB119">
        <f ca="1">IFERROR(IF(0=LEN(ReferenceData!$AB$119),"",ReferenceData!$AB$119),"")</f>
        <v>108247.19899999999</v>
      </c>
      <c r="AC119">
        <f ca="1">IFERROR(IF(0=LEN(ReferenceData!$AC$119),"",ReferenceData!$AC$119),"")</f>
        <v>108203.287</v>
      </c>
      <c r="AD119">
        <f ca="1">IFERROR(IF(0=LEN(ReferenceData!$AD$119),"",ReferenceData!$AD$119),"")</f>
        <v>108781.444</v>
      </c>
      <c r="AE119">
        <f ca="1">IFERROR(IF(0=LEN(ReferenceData!$AE$119),"",ReferenceData!$AE$119),"")</f>
        <v>105652.344</v>
      </c>
      <c r="AF119">
        <f ca="1">IFERROR(IF(0=LEN(ReferenceData!$AF$119),"",ReferenceData!$AF$119),"")</f>
        <v>105358.398</v>
      </c>
      <c r="AG119">
        <f ca="1">IFERROR(IF(0=LEN(ReferenceData!$AG$119),"",ReferenceData!$AG$119),"")</f>
        <v>104246.66800000001</v>
      </c>
      <c r="AH119">
        <f ca="1">IFERROR(IF(0=LEN(ReferenceData!$AH$119),"",ReferenceData!$AH$119),"")</f>
        <v>104184.505</v>
      </c>
      <c r="AI119">
        <f ca="1">IFERROR(IF(0=LEN(ReferenceData!$AI$119),"",ReferenceData!$AI$119),"")</f>
        <v>101988.125</v>
      </c>
      <c r="AJ119">
        <f ca="1">IFERROR(IF(0=LEN(ReferenceData!$AJ$119),"",ReferenceData!$AJ$119),"")</f>
        <v>101406.77899999999</v>
      </c>
      <c r="AK119">
        <f ca="1">IFERROR(IF(0=LEN(ReferenceData!$AK$119),"",ReferenceData!$AK$119),"")</f>
        <v>100045.50599999999</v>
      </c>
      <c r="AL119">
        <f ca="1">IFERROR(IF(0=LEN(ReferenceData!$AL$119),"",ReferenceData!$AL$119),"")</f>
        <v>99714.096999999994</v>
      </c>
      <c r="AM119">
        <f ca="1">IFERROR(IF(0=LEN(ReferenceData!$AM$119),"",ReferenceData!$AM$119),"")</f>
        <v>100765.412</v>
      </c>
      <c r="AN119">
        <f ca="1">IFERROR(IF(0=LEN(ReferenceData!$AN$119),"",ReferenceData!$AN$119),"")</f>
        <v>73954.016000000003</v>
      </c>
      <c r="AO119">
        <f ca="1">IFERROR(IF(0=LEN(ReferenceData!$AO$119),"",ReferenceData!$AO$119),"")</f>
        <v>72644.967000000004</v>
      </c>
      <c r="AP119">
        <f ca="1">IFERROR(IF(0=LEN(ReferenceData!$AP$119),"",ReferenceData!$AP$119),"")</f>
        <v>71044.551000000007</v>
      </c>
      <c r="AQ119">
        <f ca="1">IFERROR(IF(0=LEN(ReferenceData!$AQ$119),"",ReferenceData!$AQ$119),"")</f>
        <v>70210.178</v>
      </c>
      <c r="AR119">
        <f ca="1">IFERROR(IF(0=LEN(ReferenceData!$AR$119),"",ReferenceData!$AR$119),"")</f>
        <v>68845.648000000001</v>
      </c>
      <c r="AS119">
        <f ca="1">IFERROR(IF(0=LEN(ReferenceData!$AS$119),"",ReferenceData!$AS$119),"")</f>
        <v>68002.660999999993</v>
      </c>
      <c r="AT119">
        <f ca="1">IFERROR(IF(0=LEN(ReferenceData!$AT$119),"",ReferenceData!$AT$119),"")</f>
        <v>66298.009999999995</v>
      </c>
      <c r="AU119">
        <f ca="1">IFERROR(IF(0=LEN(ReferenceData!$AU$119),"",ReferenceData!$AU$119),"")</f>
        <v>64330.629000000001</v>
      </c>
      <c r="AV119">
        <f ca="1">IFERROR(IF(0=LEN(ReferenceData!$AV$119),"",ReferenceData!$AV$119),"")</f>
        <v>63797.112999999998</v>
      </c>
      <c r="AW119">
        <f ca="1">IFERROR(IF(0=LEN(ReferenceData!$AW$119),"",ReferenceData!$AW$119),"")</f>
        <v>61145.752999999997</v>
      </c>
      <c r="AX119">
        <f ca="1">IFERROR(IF(0=LEN(ReferenceData!$AX$119),"",ReferenceData!$AX$119),"")</f>
        <v>59476.343999999997</v>
      </c>
      <c r="AY119">
        <f ca="1">IFERROR(IF(0=LEN(ReferenceData!$AY$119),"",ReferenceData!$AY$119),"")</f>
        <v>56648.250999999997</v>
      </c>
      <c r="AZ119">
        <f ca="1">IFERROR(IF(0=LEN(ReferenceData!$AZ$119),"",ReferenceData!$AZ$119),"")</f>
        <v>56113.686999999998</v>
      </c>
      <c r="BA119">
        <f ca="1">IFERROR(IF(0=LEN(ReferenceData!$BA$119),"",ReferenceData!$BA$119),"")</f>
        <v>56054.966</v>
      </c>
      <c r="BB119">
        <f ca="1">IFERROR(IF(0=LEN(ReferenceData!$BB$119),"",ReferenceData!$BB$119),"")</f>
        <v>56153.184999999998</v>
      </c>
      <c r="BC119">
        <f ca="1">IFERROR(IF(0=LEN(ReferenceData!$BC$119),"",ReferenceData!$BC$119),"")</f>
        <v>56443</v>
      </c>
      <c r="BD119">
        <f ca="1">IFERROR(IF(0=LEN(ReferenceData!$BD$119),"",ReferenceData!$BD$119),"")</f>
        <v>56622.959000000003</v>
      </c>
      <c r="BE119">
        <f ca="1">IFERROR(IF(0=LEN(ReferenceData!$BE$119),"",ReferenceData!$BE$119),"")</f>
        <v>55876.654000000002</v>
      </c>
      <c r="BF119">
        <f ca="1">IFERROR(IF(0=LEN(ReferenceData!$BF$119),"",ReferenceData!$BF$119),"")</f>
        <v>54450.652000000002</v>
      </c>
      <c r="BG119">
        <f ca="1">IFERROR(IF(0=LEN(ReferenceData!$BG$119),"",ReferenceData!$BG$119),"")</f>
        <v>54978.707000000002</v>
      </c>
      <c r="BH119">
        <f ca="1">IFERROR(IF(0=LEN(ReferenceData!$BH$119),"",ReferenceData!$BH$119),"")</f>
        <v>53050.038999999997</v>
      </c>
      <c r="BI119">
        <f ca="1">IFERROR(IF(0=LEN(ReferenceData!$BI$119),"",ReferenceData!$BI$119),"")</f>
        <v>52948.51</v>
      </c>
      <c r="BJ119">
        <f ca="1">IFERROR(IF(0=LEN(ReferenceData!$BJ$119),"",ReferenceData!$BJ$119),"")</f>
        <v>53801.953999999998</v>
      </c>
      <c r="BK119">
        <f ca="1">IFERROR(IF(0=LEN(ReferenceData!$BK$119),"",ReferenceData!$BK$119),"")</f>
        <v>53247.307999999997</v>
      </c>
      <c r="BL119">
        <f ca="1">IFERROR(IF(0=LEN(ReferenceData!$BL$119),"",ReferenceData!$BL$119),"")</f>
        <v>51771.442999999999</v>
      </c>
      <c r="BM119" t="str">
        <f ca="1">IFERROR(IF(0=LEN(ReferenceData!$BM$119),"",ReferenceData!$BM$119),"")</f>
        <v/>
      </c>
    </row>
    <row r="120" spans="1:65" x14ac:dyDescent="0.25">
      <c r="A120" t="str">
        <f>IFERROR(IF(0=LEN(ReferenceData!$A$120),"",ReferenceData!$A$120),"")</f>
        <v xml:space="preserve">            JPMorgan Chase &amp; Co</v>
      </c>
      <c r="B120" t="str">
        <f>IFERROR(IF(0=LEN(ReferenceData!$B$120),"",ReferenceData!$B$120),"")</f>
        <v>JPM US Equity</v>
      </c>
      <c r="C120" t="str">
        <f>IFERROR(IF(0=LEN(ReferenceData!$C$120),"",ReferenceData!$C$120),"")</f>
        <v>FC001</v>
      </c>
      <c r="D120" t="str">
        <f>IFERROR(IF(0=LEN(ReferenceData!$D$120),"",ReferenceData!$D$120),"")</f>
        <v>FDIC_TOTAL_ASSETS</v>
      </c>
      <c r="E120" t="str">
        <f>IFERROR(IF(0=LEN(ReferenceData!$E$120),"",ReferenceData!$E$120),"")</f>
        <v>Dynamic</v>
      </c>
      <c r="F120">
        <f ca="1">IFERROR(IF(0=LEN(ReferenceData!$F$120),"",ReferenceData!$F$120),"")</f>
        <v>4002814</v>
      </c>
      <c r="G120">
        <f ca="1">IFERROR(IF(0=LEN(ReferenceData!$G$120),"",ReferenceData!$G$120),"")</f>
        <v>4210048</v>
      </c>
      <c r="H120">
        <f ca="1">IFERROR(IF(0=LEN(ReferenceData!$H$120),"",ReferenceData!$H$120),"")</f>
        <v>4143003</v>
      </c>
      <c r="I120">
        <f ca="1">IFERROR(IF(0=LEN(ReferenceData!$I$120),"",ReferenceData!$I$120),"")</f>
        <v>4090727</v>
      </c>
      <c r="J120">
        <f ca="1">IFERROR(IF(0=LEN(ReferenceData!$J$120),"",ReferenceData!$J$120),"")</f>
        <v>3875393</v>
      </c>
      <c r="K120">
        <f ca="1">IFERROR(IF(0=LEN(ReferenceData!$K$120),"",ReferenceData!$K$120),"")</f>
        <v>3898333</v>
      </c>
      <c r="L120">
        <f ca="1">IFERROR(IF(0=LEN(ReferenceData!$L$120),"",ReferenceData!$L$120),"")</f>
        <v>3868240</v>
      </c>
      <c r="M120">
        <f ca="1">IFERROR(IF(0=LEN(ReferenceData!$M$120),"",ReferenceData!$M$120),"")</f>
        <v>3744305</v>
      </c>
      <c r="N120">
        <f ca="1">IFERROR(IF(0=LEN(ReferenceData!$N$120),"",ReferenceData!$N$120),"")</f>
        <v>3665743</v>
      </c>
      <c r="O120">
        <f ca="1">IFERROR(IF(0=LEN(ReferenceData!$O$120),"",ReferenceData!$O$120),"")</f>
        <v>3773884</v>
      </c>
      <c r="P120">
        <f ca="1">IFERROR(IF(0=LEN(ReferenceData!$P$120),"",ReferenceData!$P$120),"")</f>
        <v>3841314</v>
      </c>
      <c r="Q120">
        <f ca="1">IFERROR(IF(0=LEN(ReferenceData!$Q$120),"",ReferenceData!$Q$120),"")</f>
        <v>3954687</v>
      </c>
      <c r="R120">
        <f ca="1">IFERROR(IF(0=LEN(ReferenceData!$R$120),"",ReferenceData!$R$120),"")</f>
        <v>3743567</v>
      </c>
      <c r="S120">
        <f ca="1">IFERROR(IF(0=LEN(ReferenceData!$S$120),"",ReferenceData!$S$120),"")</f>
        <v>3757576</v>
      </c>
      <c r="T120">
        <f ca="1">IFERROR(IF(0=LEN(ReferenceData!$T$120),"",ReferenceData!$T$120),"")</f>
        <v>3684256</v>
      </c>
      <c r="U120">
        <f ca="1">IFERROR(IF(0=LEN(ReferenceData!$U$120),"",ReferenceData!$U$120),"")</f>
        <v>3689336</v>
      </c>
      <c r="V120">
        <f ca="1">IFERROR(IF(0=LEN(ReferenceData!$V$120),"",ReferenceData!$V$120),"")</f>
        <v>3386071</v>
      </c>
      <c r="W120">
        <f ca="1">IFERROR(IF(0=LEN(ReferenceData!$W$120),"",ReferenceData!$W$120),"")</f>
        <v>3246923</v>
      </c>
      <c r="X120">
        <f ca="1">IFERROR(IF(0=LEN(ReferenceData!$X$120),"",ReferenceData!$X$120),"")</f>
        <v>3214218</v>
      </c>
      <c r="Y120">
        <f ca="1">IFERROR(IF(0=LEN(ReferenceData!$Y$120),"",ReferenceData!$Y$120),"")</f>
        <v>3140887</v>
      </c>
      <c r="Z120">
        <f ca="1">IFERROR(IF(0=LEN(ReferenceData!$Z$120),"",ReferenceData!$Z$120),"")</f>
        <v>2687379</v>
      </c>
      <c r="AA120">
        <f ca="1">IFERROR(IF(0=LEN(ReferenceData!$AA$120),"",ReferenceData!$AA$120),"")</f>
        <v>2764661</v>
      </c>
      <c r="AB120">
        <f ca="1">IFERROR(IF(0=LEN(ReferenceData!$AB$120),"",ReferenceData!$AB$120),"")</f>
        <v>2727379</v>
      </c>
      <c r="AC120">
        <f ca="1">IFERROR(IF(0=LEN(ReferenceData!$AC$120),"",ReferenceData!$AC$120),"")</f>
        <v>2737188</v>
      </c>
      <c r="AD120">
        <f ca="1">IFERROR(IF(0=LEN(ReferenceData!$AD$120),"",ReferenceData!$AD$120),"")</f>
        <v>2622532</v>
      </c>
      <c r="AE120">
        <f ca="1">IFERROR(IF(0=LEN(ReferenceData!$AE$120),"",ReferenceData!$AE$120),"")</f>
        <v>2615183</v>
      </c>
      <c r="AF120">
        <f ca="1">IFERROR(IF(0=LEN(ReferenceData!$AF$120),"",ReferenceData!$AF$120),"")</f>
        <v>2590050</v>
      </c>
      <c r="AG120">
        <f ca="1">IFERROR(IF(0=LEN(ReferenceData!$AG$120),"",ReferenceData!$AG$120),"")</f>
        <v>2609785</v>
      </c>
      <c r="AH120">
        <f ca="1">IFERROR(IF(0=LEN(ReferenceData!$AH$120),"",ReferenceData!$AH$120),"")</f>
        <v>2533600</v>
      </c>
      <c r="AI120">
        <f ca="1">IFERROR(IF(0=LEN(ReferenceData!$AI$120),"",ReferenceData!$AI$120),"")</f>
        <v>2563074</v>
      </c>
      <c r="AJ120">
        <f ca="1">IFERROR(IF(0=LEN(ReferenceData!$AJ$120),"",ReferenceData!$AJ$120),"")</f>
        <v>2563174</v>
      </c>
      <c r="AK120">
        <f ca="1">IFERROR(IF(0=LEN(ReferenceData!$AK$120),"",ReferenceData!$AK$120),"")</f>
        <v>2546290</v>
      </c>
      <c r="AL120">
        <f ca="1">IFERROR(IF(0=LEN(ReferenceData!$AL$120),"",ReferenceData!$AL$120),"")</f>
        <v>2490972</v>
      </c>
      <c r="AM120">
        <f ca="1">IFERROR(IF(0=LEN(ReferenceData!$AM$120),"",ReferenceData!$AM$120),"")</f>
        <v>2521029</v>
      </c>
      <c r="AN120">
        <f ca="1">IFERROR(IF(0=LEN(ReferenceData!$AN$120),"",ReferenceData!$AN$120),"")</f>
        <v>2466096</v>
      </c>
      <c r="AO120">
        <f ca="1">IFERROR(IF(0=LEN(ReferenceData!$AO$120),"",ReferenceData!$AO$120),"")</f>
        <v>2423808</v>
      </c>
      <c r="AP120">
        <f ca="1">IFERROR(IF(0=LEN(ReferenceData!$AP$120),"",ReferenceData!$AP$120),"")</f>
        <v>2351698</v>
      </c>
      <c r="AQ120">
        <f ca="1">IFERROR(IF(0=LEN(ReferenceData!$AQ$120),"",ReferenceData!$AQ$120),"")</f>
        <v>2417121</v>
      </c>
      <c r="AR120">
        <f ca="1">IFERROR(IF(0=LEN(ReferenceData!$AR$120),"",ReferenceData!$AR$120),"")</f>
        <v>2447994</v>
      </c>
      <c r="AS120">
        <f ca="1">IFERROR(IF(0=LEN(ReferenceData!$AS$120),"",ReferenceData!$AS$120),"")</f>
        <v>2577148</v>
      </c>
      <c r="AT120">
        <f ca="1">IFERROR(IF(0=LEN(ReferenceData!$AT$120),"",ReferenceData!$AT$120),"")</f>
        <v>2572773</v>
      </c>
      <c r="AU120">
        <f ca="1">IFERROR(IF(0=LEN(ReferenceData!$AU$120),"",ReferenceData!$AU$120),"")</f>
        <v>2527005</v>
      </c>
      <c r="AV120">
        <f ca="1">IFERROR(IF(0=LEN(ReferenceData!$AV$120),"",ReferenceData!$AV$120),"")</f>
        <v>2520336</v>
      </c>
      <c r="AW120">
        <f ca="1">IFERROR(IF(0=LEN(ReferenceData!$AW$120),"",ReferenceData!$AW$120),"")</f>
        <v>2476986</v>
      </c>
      <c r="AX120">
        <f ca="1">IFERROR(IF(0=LEN(ReferenceData!$AX$120),"",ReferenceData!$AX$120),"")</f>
        <v>2415689</v>
      </c>
      <c r="AY120">
        <f ca="1">IFERROR(IF(0=LEN(ReferenceData!$AY$120),"",ReferenceData!$AY$120),"")</f>
        <v>2463309</v>
      </c>
      <c r="AZ120">
        <f ca="1">IFERROR(IF(0=LEN(ReferenceData!$AZ$120),"",ReferenceData!$AZ$120),"")</f>
        <v>2439494</v>
      </c>
      <c r="BA120">
        <f ca="1">IFERROR(IF(0=LEN(ReferenceData!$BA$120),"",ReferenceData!$BA$120),"")</f>
        <v>2389349</v>
      </c>
      <c r="BB120">
        <f ca="1">IFERROR(IF(0=LEN(ReferenceData!$BB$120),"",ReferenceData!$BB$120),"")</f>
        <v>2359141</v>
      </c>
      <c r="BC120">
        <f ca="1">IFERROR(IF(0=LEN(ReferenceData!$BC$120),"",ReferenceData!$BC$120),"")</f>
        <v>2321284</v>
      </c>
      <c r="BD120">
        <f ca="1">IFERROR(IF(0=LEN(ReferenceData!$BD$120),"",ReferenceData!$BD$120),"")</f>
        <v>2290146</v>
      </c>
      <c r="BE120">
        <f ca="1">IFERROR(IF(0=LEN(ReferenceData!$BE$120),"",ReferenceData!$BE$120),"")</f>
        <v>2320164</v>
      </c>
      <c r="BF120">
        <f ca="1">IFERROR(IF(0=LEN(ReferenceData!$BF$120),"",ReferenceData!$BF$120),"")</f>
        <v>2265792</v>
      </c>
      <c r="BG120">
        <f ca="1">IFERROR(IF(0=LEN(ReferenceData!$BG$120),"",ReferenceData!$BG$120),"")</f>
        <v>2289240</v>
      </c>
      <c r="BH120">
        <f ca="1">IFERROR(IF(0=LEN(ReferenceData!$BH$120),"",ReferenceData!$BH$120),"")</f>
        <v>2246764</v>
      </c>
      <c r="BI120">
        <f ca="1">IFERROR(IF(0=LEN(ReferenceData!$BI$120),"",ReferenceData!$BI$120),"")</f>
        <v>2198161</v>
      </c>
      <c r="BJ120">
        <f ca="1">IFERROR(IF(0=LEN(ReferenceData!$BJ$120),"",ReferenceData!$BJ$120),"")</f>
        <v>2117605</v>
      </c>
      <c r="BK120">
        <f ca="1">IFERROR(IF(0=LEN(ReferenceData!$BK$120),"",ReferenceData!$BK$120),"")</f>
        <v>2141595</v>
      </c>
      <c r="BL120">
        <f ca="1">IFERROR(IF(0=LEN(ReferenceData!$BL$120),"",ReferenceData!$BL$120),"")</f>
        <v>2014019</v>
      </c>
      <c r="BM120" t="str">
        <f ca="1">IFERROR(IF(0=LEN(ReferenceData!$BM$120),"",ReferenceData!$BM$120),"")</f>
        <v/>
      </c>
    </row>
    <row r="121" spans="1:65" x14ac:dyDescent="0.25">
      <c r="A121" t="str">
        <f>IFERROR(IF(0=LEN(ReferenceData!$A$121),"",ReferenceData!$A$121),"")</f>
        <v xml:space="preserve">            KeyCorp</v>
      </c>
      <c r="B121" t="str">
        <f>IFERROR(IF(0=LEN(ReferenceData!$B$121),"",ReferenceData!$B$121),"")</f>
        <v>KEY US Equity</v>
      </c>
      <c r="C121" t="str">
        <f>IFERROR(IF(0=LEN(ReferenceData!$C$121),"",ReferenceData!$C$121),"")</f>
        <v>FC001</v>
      </c>
      <c r="D121" t="str">
        <f>IFERROR(IF(0=LEN(ReferenceData!$D$121),"",ReferenceData!$D$121),"")</f>
        <v>FDIC_TOTAL_ASSETS</v>
      </c>
      <c r="E121" t="str">
        <f>IFERROR(IF(0=LEN(ReferenceData!$E$121),"",ReferenceData!$E$121),"")</f>
        <v>Dynamic</v>
      </c>
      <c r="F121">
        <f ca="1">IFERROR(IF(0=LEN(ReferenceData!$F$121),"",ReferenceData!$F$121),"")</f>
        <v>187184.01</v>
      </c>
      <c r="G121">
        <f ca="1">IFERROR(IF(0=LEN(ReferenceData!$G$121),"",ReferenceData!$G$121),"")</f>
        <v>189766.10699999999</v>
      </c>
      <c r="H121">
        <f ca="1">IFERROR(IF(0=LEN(ReferenceData!$H$121),"",ReferenceData!$H$121),"")</f>
        <v>187474.66200000001</v>
      </c>
      <c r="I121">
        <f ca="1">IFERROR(IF(0=LEN(ReferenceData!$I$121),"",ReferenceData!$I$121),"")</f>
        <v>187530.70499999999</v>
      </c>
      <c r="J121">
        <f ca="1">IFERROR(IF(0=LEN(ReferenceData!$J$121),"",ReferenceData!$J$121),"")</f>
        <v>188368.90400000001</v>
      </c>
      <c r="K121">
        <f ca="1">IFERROR(IF(0=LEN(ReferenceData!$K$121),"",ReferenceData!$K$121),"")</f>
        <v>187994.715</v>
      </c>
      <c r="L121">
        <f ca="1">IFERROR(IF(0=LEN(ReferenceData!$L$121),"",ReferenceData!$L$121),"")</f>
        <v>195213.56299999999</v>
      </c>
      <c r="M121">
        <f ca="1">IFERROR(IF(0=LEN(ReferenceData!$M$121),"",ReferenceData!$M$121),"")</f>
        <v>197621.76300000001</v>
      </c>
      <c r="N121">
        <f ca="1">IFERROR(IF(0=LEN(ReferenceData!$N$121),"",ReferenceData!$N$121),"")</f>
        <v>189915.51500000001</v>
      </c>
      <c r="O121">
        <f ca="1">IFERROR(IF(0=LEN(ReferenceData!$O$121),"",ReferenceData!$O$121),"")</f>
        <v>190232.45</v>
      </c>
      <c r="P121">
        <f ca="1">IFERROR(IF(0=LEN(ReferenceData!$P$121),"",ReferenceData!$P$121),"")</f>
        <v>187227.649</v>
      </c>
      <c r="Q121">
        <f ca="1">IFERROR(IF(0=LEN(ReferenceData!$Q$121),"",ReferenceData!$Q$121),"")</f>
        <v>181472.726</v>
      </c>
      <c r="R121">
        <f ca="1">IFERROR(IF(0=LEN(ReferenceData!$R$121),"",ReferenceData!$R$121),"")</f>
        <v>186455.921</v>
      </c>
      <c r="S121">
        <f ca="1">IFERROR(IF(0=LEN(ReferenceData!$S$121),"",ReferenceData!$S$121),"")</f>
        <v>187198.23699999999</v>
      </c>
      <c r="T121">
        <f ca="1">IFERROR(IF(0=LEN(ReferenceData!$T$121),"",ReferenceData!$T$121),"")</f>
        <v>181526.85200000001</v>
      </c>
      <c r="U121">
        <f ca="1">IFERROR(IF(0=LEN(ReferenceData!$U$121),"",ReferenceData!$U$121),"")</f>
        <v>176336.182</v>
      </c>
      <c r="V121">
        <f ca="1">IFERROR(IF(0=LEN(ReferenceData!$V$121),"",ReferenceData!$V$121),"")</f>
        <v>171371.23</v>
      </c>
      <c r="W121">
        <f ca="1">IFERROR(IF(0=LEN(ReferenceData!$W$121),"",ReferenceData!$W$121),"")</f>
        <v>171342.43400000001</v>
      </c>
      <c r="X121">
        <f ca="1">IFERROR(IF(0=LEN(ReferenceData!$X$121),"",ReferenceData!$X$121),"")</f>
        <v>172038.74799999999</v>
      </c>
      <c r="Y121">
        <f ca="1">IFERROR(IF(0=LEN(ReferenceData!$Y$121),"",ReferenceData!$Y$121),"")</f>
        <v>157003.46599999999</v>
      </c>
      <c r="Z121">
        <f ca="1">IFERROR(IF(0=LEN(ReferenceData!$Z$121),"",ReferenceData!$Z$121),"")</f>
        <v>145569.63200000001</v>
      </c>
      <c r="AA121">
        <f ca="1">IFERROR(IF(0=LEN(ReferenceData!$AA$121),"",ReferenceData!$AA$121),"")</f>
        <v>147321.05900000001</v>
      </c>
      <c r="AB121">
        <f ca="1">IFERROR(IF(0=LEN(ReferenceData!$AB$121),"",ReferenceData!$AB$121),"")</f>
        <v>145121.356</v>
      </c>
      <c r="AC121">
        <f ca="1">IFERROR(IF(0=LEN(ReferenceData!$AC$121),"",ReferenceData!$AC$121),"")</f>
        <v>141953.655</v>
      </c>
      <c r="AD121">
        <f ca="1">IFERROR(IF(0=LEN(ReferenceData!$AD$121),"",ReferenceData!$AD$121),"")</f>
        <v>140037.79</v>
      </c>
      <c r="AE121">
        <f ca="1">IFERROR(IF(0=LEN(ReferenceData!$AE$121),"",ReferenceData!$AE$121),"")</f>
        <v>139184.992</v>
      </c>
      <c r="AF121">
        <f ca="1">IFERROR(IF(0=LEN(ReferenceData!$AF$121),"",ReferenceData!$AF$121),"")</f>
        <v>138164.802</v>
      </c>
      <c r="AG121">
        <f ca="1">IFERROR(IF(0=LEN(ReferenceData!$AG$121),"",ReferenceData!$AG$121),"")</f>
        <v>137485.73199999999</v>
      </c>
      <c r="AH121">
        <f ca="1">IFERROR(IF(0=LEN(ReferenceData!$AH$121),"",ReferenceData!$AH$121),"")</f>
        <v>138064.05499999999</v>
      </c>
      <c r="AI121">
        <f ca="1">IFERROR(IF(0=LEN(ReferenceData!$AI$121),"",ReferenceData!$AI$121),"")</f>
        <v>137129.91200000001</v>
      </c>
      <c r="AJ121">
        <f ca="1">IFERROR(IF(0=LEN(ReferenceData!$AJ$121),"",ReferenceData!$AJ$121),"")</f>
        <v>136362.22399999999</v>
      </c>
      <c r="AK121">
        <f ca="1">IFERROR(IF(0=LEN(ReferenceData!$AK$121),"",ReferenceData!$AK$121),"")</f>
        <v>134972.587</v>
      </c>
      <c r="AL121">
        <f ca="1">IFERROR(IF(0=LEN(ReferenceData!$AL$121),"",ReferenceData!$AL$121),"")</f>
        <v>136825.848</v>
      </c>
      <c r="AM121">
        <f ca="1">IFERROR(IF(0=LEN(ReferenceData!$AM$121),"",ReferenceData!$AM$121),"")</f>
        <v>136228.389</v>
      </c>
      <c r="AN121">
        <f ca="1">IFERROR(IF(0=LEN(ReferenceData!$AN$121),"",ReferenceData!$AN$121),"")</f>
        <v>101406.977</v>
      </c>
      <c r="AO121">
        <f ca="1">IFERROR(IF(0=LEN(ReferenceData!$AO$121),"",ReferenceData!$AO$121),"")</f>
        <v>98570.702000000005</v>
      </c>
      <c r="AP121">
        <f ca="1">IFERROR(IF(0=LEN(ReferenceData!$AP$121),"",ReferenceData!$AP$121),"")</f>
        <v>95270.648000000001</v>
      </c>
      <c r="AQ121">
        <f ca="1">IFERROR(IF(0=LEN(ReferenceData!$AQ$121),"",ReferenceData!$AQ$121),"")</f>
        <v>95476.858999999997</v>
      </c>
      <c r="AR121">
        <f ca="1">IFERROR(IF(0=LEN(ReferenceData!$AR$121),"",ReferenceData!$AR$121),"")</f>
        <v>94674.55</v>
      </c>
      <c r="AS121">
        <f ca="1">IFERROR(IF(0=LEN(ReferenceData!$AS$121),"",ReferenceData!$AS$121),"")</f>
        <v>94296.497000000003</v>
      </c>
      <c r="AT121">
        <f ca="1">IFERROR(IF(0=LEN(ReferenceData!$AT$121),"",ReferenceData!$AT$121),"")</f>
        <v>93882.115000000005</v>
      </c>
      <c r="AU121">
        <f ca="1">IFERROR(IF(0=LEN(ReferenceData!$AU$121),"",ReferenceData!$AU$121),"")</f>
        <v>89884.476999999999</v>
      </c>
      <c r="AV121">
        <f ca="1">IFERROR(IF(0=LEN(ReferenceData!$AV$121),"",ReferenceData!$AV$121),"")</f>
        <v>91934.784</v>
      </c>
      <c r="AW121">
        <f ca="1">IFERROR(IF(0=LEN(ReferenceData!$AW$121),"",ReferenceData!$AW$121),"")</f>
        <v>90928.217999999993</v>
      </c>
      <c r="AX121">
        <f ca="1">IFERROR(IF(0=LEN(ReferenceData!$AX$121),"",ReferenceData!$AX$121),"")</f>
        <v>92991.716</v>
      </c>
      <c r="AY121">
        <f ca="1">IFERROR(IF(0=LEN(ReferenceData!$AY$121),"",ReferenceData!$AY$121),"")</f>
        <v>91016.413</v>
      </c>
      <c r="AZ121">
        <f ca="1">IFERROR(IF(0=LEN(ReferenceData!$AZ$121),"",ReferenceData!$AZ$121),"")</f>
        <v>90858.778999999995</v>
      </c>
      <c r="BA121">
        <f ca="1">IFERROR(IF(0=LEN(ReferenceData!$BA$121),"",ReferenceData!$BA$121),"")</f>
        <v>89441.21</v>
      </c>
      <c r="BB121">
        <f ca="1">IFERROR(IF(0=LEN(ReferenceData!$BB$121),"",ReferenceData!$BB$121),"")</f>
        <v>89425.612999999998</v>
      </c>
      <c r="BC121">
        <f ca="1">IFERROR(IF(0=LEN(ReferenceData!$BC$121),"",ReferenceData!$BC$121),"")</f>
        <v>87302.271999999997</v>
      </c>
      <c r="BD121">
        <f ca="1">IFERROR(IF(0=LEN(ReferenceData!$BD$121),"",ReferenceData!$BD$121),"")</f>
        <v>86741.423999999999</v>
      </c>
      <c r="BE121">
        <f ca="1">IFERROR(IF(0=LEN(ReferenceData!$BE$121),"",ReferenceData!$BE$121),"")</f>
        <v>87569.856</v>
      </c>
      <c r="BF121">
        <f ca="1">IFERROR(IF(0=LEN(ReferenceData!$BF$121),"",ReferenceData!$BF$121),"")</f>
        <v>88762.570999999996</v>
      </c>
      <c r="BG121">
        <f ca="1">IFERROR(IF(0=LEN(ReferenceData!$BG$121),"",ReferenceData!$BG$121),"")</f>
        <v>89405.604999999996</v>
      </c>
      <c r="BH121">
        <f ca="1">IFERROR(IF(0=LEN(ReferenceData!$BH$121),"",ReferenceData!$BH$121),"")</f>
        <v>88858.6</v>
      </c>
      <c r="BI121">
        <f ca="1">IFERROR(IF(0=LEN(ReferenceData!$BI$121),"",ReferenceData!$BI$121),"")</f>
        <v>90311.402000000002</v>
      </c>
      <c r="BJ121">
        <f ca="1">IFERROR(IF(0=LEN(ReferenceData!$BJ$121),"",ReferenceData!$BJ$121),"")</f>
        <v>91718.216</v>
      </c>
      <c r="BK121">
        <f ca="1">IFERROR(IF(0=LEN(ReferenceData!$BK$121),"",ReferenceData!$BK$121),"")</f>
        <v>94073.953999999998</v>
      </c>
      <c r="BL121">
        <f ca="1">IFERROR(IF(0=LEN(ReferenceData!$BL$121),"",ReferenceData!$BL$121),"")</f>
        <v>94286.770999999993</v>
      </c>
      <c r="BM121" t="str">
        <f ca="1">IFERROR(IF(0=LEN(ReferenceData!$BM$121),"",ReferenceData!$BM$121),"")</f>
        <v/>
      </c>
    </row>
    <row r="122" spans="1:65" x14ac:dyDescent="0.25">
      <c r="A122" t="str">
        <f>IFERROR(IF(0=LEN(ReferenceData!$A$122),"",ReferenceData!$A$122),"")</f>
        <v xml:space="preserve">            M&amp;T Bank Corp</v>
      </c>
      <c r="B122" t="str">
        <f>IFERROR(IF(0=LEN(ReferenceData!$B$122),"",ReferenceData!$B$122),"")</f>
        <v>MTB US Equity</v>
      </c>
      <c r="C122" t="str">
        <f>IFERROR(IF(0=LEN(ReferenceData!$C$122),"",ReferenceData!$C$122),"")</f>
        <v>FC001</v>
      </c>
      <c r="D122" t="str">
        <f>IFERROR(IF(0=LEN(ReferenceData!$D$122),"",ReferenceData!$D$122),"")</f>
        <v>FDIC_TOTAL_ASSETS</v>
      </c>
      <c r="E122" t="str">
        <f>IFERROR(IF(0=LEN(ReferenceData!$E$122),"",ReferenceData!$E$122),"")</f>
        <v>Dynamic</v>
      </c>
      <c r="F122">
        <f ca="1">IFERROR(IF(0=LEN(ReferenceData!$F$122),"",ReferenceData!$F$122),"")</f>
        <v>208104.916</v>
      </c>
      <c r="G122">
        <f ca="1">IFERROR(IF(0=LEN(ReferenceData!$G$122),"",ReferenceData!$G$122),"")</f>
        <v>211784.99400000001</v>
      </c>
      <c r="H122">
        <f ca="1">IFERROR(IF(0=LEN(ReferenceData!$H$122),"",ReferenceData!$H$122),"")</f>
        <v>208854.50099999999</v>
      </c>
      <c r="I122">
        <f ca="1">IFERROR(IF(0=LEN(ReferenceData!$I$122),"",ReferenceData!$I$122),"")</f>
        <v>215136.712</v>
      </c>
      <c r="J122">
        <f ca="1">IFERROR(IF(0=LEN(ReferenceData!$J$122),"",ReferenceData!$J$122),"")</f>
        <v>208263.598</v>
      </c>
      <c r="K122">
        <f ca="1">IFERROR(IF(0=LEN(ReferenceData!$K$122),"",ReferenceData!$K$122),"")</f>
        <v>209124.31599999999</v>
      </c>
      <c r="L122">
        <f ca="1">IFERROR(IF(0=LEN(ReferenceData!$L$122),"",ReferenceData!$L$122),"")</f>
        <v>207671.72899999999</v>
      </c>
      <c r="M122">
        <f ca="1">IFERROR(IF(0=LEN(ReferenceData!$M$122),"",ReferenceData!$M$122),"")</f>
        <v>202956.40700000001</v>
      </c>
      <c r="N122">
        <f ca="1">IFERROR(IF(0=LEN(ReferenceData!$N$122),"",ReferenceData!$N$122),"")</f>
        <v>200729.84099999999</v>
      </c>
      <c r="O122">
        <f ca="1">IFERROR(IF(0=LEN(ReferenceData!$O$122),"",ReferenceData!$O$122),"")</f>
        <v>197955.47899999999</v>
      </c>
      <c r="P122">
        <f ca="1">IFERROR(IF(0=LEN(ReferenceData!$P$122),"",ReferenceData!$P$122),"")</f>
        <v>204032.889</v>
      </c>
      <c r="Q122">
        <f ca="1">IFERROR(IF(0=LEN(ReferenceData!$Q$122),"",ReferenceData!$Q$122),"")</f>
        <v>149825.90700000001</v>
      </c>
      <c r="R122">
        <f ca="1">IFERROR(IF(0=LEN(ReferenceData!$R$122),"",ReferenceData!$R$122),"")</f>
        <v>155072.103</v>
      </c>
      <c r="S122">
        <f ca="1">IFERROR(IF(0=LEN(ReferenceData!$S$122),"",ReferenceData!$S$122),"")</f>
        <v>151866.23800000001</v>
      </c>
      <c r="T122">
        <f ca="1">IFERROR(IF(0=LEN(ReferenceData!$T$122),"",ReferenceData!$T$122),"")</f>
        <v>150589.66800000001</v>
      </c>
      <c r="U122">
        <f ca="1">IFERROR(IF(0=LEN(ReferenceData!$U$122),"",ReferenceData!$U$122),"")</f>
        <v>150481.06</v>
      </c>
      <c r="V122">
        <f ca="1">IFERROR(IF(0=LEN(ReferenceData!$V$122),"",ReferenceData!$V$122),"")</f>
        <v>142601.10500000001</v>
      </c>
      <c r="W122">
        <f ca="1">IFERROR(IF(0=LEN(ReferenceData!$W$122),"",ReferenceData!$W$122),"")</f>
        <v>138626.74299999999</v>
      </c>
      <c r="X122">
        <f ca="1">IFERROR(IF(0=LEN(ReferenceData!$X$122),"",ReferenceData!$X$122),"")</f>
        <v>139536.96900000001</v>
      </c>
      <c r="Y122">
        <f ca="1">IFERROR(IF(0=LEN(ReferenceData!$Y$122),"",ReferenceData!$Y$122),"")</f>
        <v>124577.833</v>
      </c>
      <c r="Z122">
        <f ca="1">IFERROR(IF(0=LEN(ReferenceData!$Z$122),"",ReferenceData!$Z$122),"")</f>
        <v>119872.757</v>
      </c>
      <c r="AA122">
        <f ca="1">IFERROR(IF(0=LEN(ReferenceData!$AA$122),"",ReferenceData!$AA$122),"")</f>
        <v>125500.92600000001</v>
      </c>
      <c r="AB122">
        <f ca="1">IFERROR(IF(0=LEN(ReferenceData!$AB$122),"",ReferenceData!$AB$122),"")</f>
        <v>121554.895</v>
      </c>
      <c r="AC122">
        <f ca="1">IFERROR(IF(0=LEN(ReferenceData!$AC$122),"",ReferenceData!$AC$122),"")</f>
        <v>120025.205</v>
      </c>
      <c r="AD122">
        <f ca="1">IFERROR(IF(0=LEN(ReferenceData!$AD$122),"",ReferenceData!$AD$122),"")</f>
        <v>120097.40300000001</v>
      </c>
      <c r="AE122">
        <f ca="1">IFERROR(IF(0=LEN(ReferenceData!$AE$122),"",ReferenceData!$AE$122),"")</f>
        <v>116827.637</v>
      </c>
      <c r="AF122">
        <f ca="1">IFERROR(IF(0=LEN(ReferenceData!$AF$122),"",ReferenceData!$AF$122),"")</f>
        <v>118426.053</v>
      </c>
      <c r="AG122">
        <f ca="1">IFERROR(IF(0=LEN(ReferenceData!$AG$122),"",ReferenceData!$AG$122),"")</f>
        <v>118622.82399999999</v>
      </c>
      <c r="AH122">
        <f ca="1">IFERROR(IF(0=LEN(ReferenceData!$AH$122),"",ReferenceData!$AH$122),"")</f>
        <v>118593.48699999999</v>
      </c>
      <c r="AI122">
        <f ca="1">IFERROR(IF(0=LEN(ReferenceData!$AI$122),"",ReferenceData!$AI$122),"")</f>
        <v>120401.804</v>
      </c>
      <c r="AJ122">
        <f ca="1">IFERROR(IF(0=LEN(ReferenceData!$AJ$122),"",ReferenceData!$AJ$122),"")</f>
        <v>120896.567</v>
      </c>
      <c r="AK122">
        <f ca="1">IFERROR(IF(0=LEN(ReferenceData!$AK$122),"",ReferenceData!$AK$122),"")</f>
        <v>123223.251</v>
      </c>
      <c r="AL122">
        <f ca="1">IFERROR(IF(0=LEN(ReferenceData!$AL$122),"",ReferenceData!$AL$122),"")</f>
        <v>123449.20600000001</v>
      </c>
      <c r="AM122">
        <f ca="1">IFERROR(IF(0=LEN(ReferenceData!$AM$122),"",ReferenceData!$AM$122),"")</f>
        <v>126841.02800000001</v>
      </c>
      <c r="AN122">
        <f ca="1">IFERROR(IF(0=LEN(ReferenceData!$AN$122),"",ReferenceData!$AN$122),"")</f>
        <v>123820.584</v>
      </c>
      <c r="AO122">
        <f ca="1">IFERROR(IF(0=LEN(ReferenceData!$AO$122),"",ReferenceData!$AO$122),"")</f>
        <v>124625.632</v>
      </c>
      <c r="AP122">
        <f ca="1">IFERROR(IF(0=LEN(ReferenceData!$AP$122),"",ReferenceData!$AP$122),"")</f>
        <v>122787.88400000001</v>
      </c>
      <c r="AQ122">
        <f ca="1">IFERROR(IF(0=LEN(ReferenceData!$AQ$122),"",ReferenceData!$AQ$122),"")</f>
        <v>97797.062000000005</v>
      </c>
      <c r="AR122">
        <f ca="1">IFERROR(IF(0=LEN(ReferenceData!$AR$122),"",ReferenceData!$AR$122),"")</f>
        <v>97080.076000000001</v>
      </c>
      <c r="AS122">
        <f ca="1">IFERROR(IF(0=LEN(ReferenceData!$AS$122),"",ReferenceData!$AS$122),"")</f>
        <v>98379.396999999997</v>
      </c>
      <c r="AT122">
        <f ca="1">IFERROR(IF(0=LEN(ReferenceData!$AT$122),"",ReferenceData!$AT$122),"")</f>
        <v>96687.224000000002</v>
      </c>
      <c r="AU122">
        <f ca="1">IFERROR(IF(0=LEN(ReferenceData!$AU$122),"",ReferenceData!$AU$122),"")</f>
        <v>97230.365999999995</v>
      </c>
      <c r="AV122">
        <f ca="1">IFERROR(IF(0=LEN(ReferenceData!$AV$122),"",ReferenceData!$AV$122),"")</f>
        <v>90835.001999999993</v>
      </c>
      <c r="AW122">
        <f ca="1">IFERROR(IF(0=LEN(ReferenceData!$AW$122),"",ReferenceData!$AW$122),"")</f>
        <v>88530.36</v>
      </c>
      <c r="AX122">
        <f ca="1">IFERROR(IF(0=LEN(ReferenceData!$AX$122),"",ReferenceData!$AX$122),"")</f>
        <v>85162.391000000003</v>
      </c>
      <c r="AY122">
        <f ca="1">IFERROR(IF(0=LEN(ReferenceData!$AY$122),"",ReferenceData!$AY$122),"")</f>
        <v>84427.485000000001</v>
      </c>
      <c r="AZ122">
        <f ca="1">IFERROR(IF(0=LEN(ReferenceData!$AZ$122),"",ReferenceData!$AZ$122),"")</f>
        <v>83229.005000000005</v>
      </c>
      <c r="BA122">
        <f ca="1">IFERROR(IF(0=LEN(ReferenceData!$BA$122),"",ReferenceData!$BA$122),"")</f>
        <v>82811.956999999995</v>
      </c>
      <c r="BB122">
        <f ca="1">IFERROR(IF(0=LEN(ReferenceData!$BB$122),"",ReferenceData!$BB$122),"")</f>
        <v>83008.803</v>
      </c>
      <c r="BC122">
        <f ca="1">IFERROR(IF(0=LEN(ReferenceData!$BC$122),"",ReferenceData!$BC$122),"")</f>
        <v>81085.232999999993</v>
      </c>
      <c r="BD122">
        <f ca="1">IFERROR(IF(0=LEN(ReferenceData!$BD$122),"",ReferenceData!$BD$122),"")</f>
        <v>80807.577999999994</v>
      </c>
      <c r="BE122">
        <f ca="1">IFERROR(IF(0=LEN(ReferenceData!$BE$122),"",ReferenceData!$BE$122),"")</f>
        <v>79186.887000000002</v>
      </c>
      <c r="BF122">
        <f ca="1">IFERROR(IF(0=LEN(ReferenceData!$BF$122),"",ReferenceData!$BF$122),"")</f>
        <v>77924.286999999997</v>
      </c>
      <c r="BG122">
        <f ca="1">IFERROR(IF(0=LEN(ReferenceData!$BG$122),"",ReferenceData!$BG$122),"")</f>
        <v>77863.891000000003</v>
      </c>
      <c r="BH122">
        <f ca="1">IFERROR(IF(0=LEN(ReferenceData!$BH$122),"",ReferenceData!$BH$122),"")</f>
        <v>77727.153999999995</v>
      </c>
      <c r="BI122">
        <f ca="1">IFERROR(IF(0=LEN(ReferenceData!$BI$122),"",ReferenceData!$BI$122),"")</f>
        <v>67881.207999999999</v>
      </c>
      <c r="BJ122">
        <f ca="1">IFERROR(IF(0=LEN(ReferenceData!$BJ$122),"",ReferenceData!$BJ$122),"")</f>
        <v>68021.263000000006</v>
      </c>
      <c r="BK122">
        <f ca="1">IFERROR(IF(0=LEN(ReferenceData!$BK$122),"",ReferenceData!$BK$122),"")</f>
        <v>68246.837</v>
      </c>
      <c r="BL122">
        <f ca="1">IFERROR(IF(0=LEN(ReferenceData!$BL$122),"",ReferenceData!$BL$122),"")</f>
        <v>68153.615999999995</v>
      </c>
      <c r="BM122" t="str">
        <f ca="1">IFERROR(IF(0=LEN(ReferenceData!$BM$122),"",ReferenceData!$BM$122),"")</f>
        <v/>
      </c>
    </row>
    <row r="123" spans="1:65" x14ac:dyDescent="0.25">
      <c r="A123" t="str">
        <f>IFERROR(IF(0=LEN(ReferenceData!$A$123),"",ReferenceData!$A$123),"")</f>
        <v xml:space="preserve">            PNC Financial Services Group I</v>
      </c>
      <c r="B123" t="str">
        <f>IFERROR(IF(0=LEN(ReferenceData!$B$123),"",ReferenceData!$B$123),"")</f>
        <v>PNC US Equity</v>
      </c>
      <c r="C123" t="str">
        <f>IFERROR(IF(0=LEN(ReferenceData!$C$123),"",ReferenceData!$C$123),"")</f>
        <v>FC001</v>
      </c>
      <c r="D123" t="str">
        <f>IFERROR(IF(0=LEN(ReferenceData!$D$123),"",ReferenceData!$D$123),"")</f>
        <v>FDIC_TOTAL_ASSETS</v>
      </c>
      <c r="E123" t="str">
        <f>IFERROR(IF(0=LEN(ReferenceData!$E$123),"",ReferenceData!$E$123),"")</f>
        <v>Dynamic</v>
      </c>
      <c r="F123" t="str">
        <f ca="1">IFERROR(IF(0=LEN(ReferenceData!$F$123),"",ReferenceData!$F$123),"")</f>
        <v/>
      </c>
      <c r="G123" t="str">
        <f ca="1">IFERROR(IF(0=LEN(ReferenceData!$G$123),"",ReferenceData!$G$123),"")</f>
        <v/>
      </c>
      <c r="H123">
        <f ca="1">IFERROR(IF(0=LEN(ReferenceData!$H$123),"",ReferenceData!$H$123),"")</f>
        <v>556539.10900000005</v>
      </c>
      <c r="I123">
        <f ca="1">IFERROR(IF(0=LEN(ReferenceData!$I$123),"",ReferenceData!$I$123),"")</f>
        <v>566181.44700000004</v>
      </c>
      <c r="J123">
        <f ca="1">IFERROR(IF(0=LEN(ReferenceData!$J$123),"",ReferenceData!$J$123),"")</f>
        <v>561599.81299999997</v>
      </c>
      <c r="K123">
        <f ca="1">IFERROR(IF(0=LEN(ReferenceData!$K$123),"",ReferenceData!$K$123),"")</f>
        <v>557355.74300000002</v>
      </c>
      <c r="L123">
        <f ca="1">IFERROR(IF(0=LEN(ReferenceData!$L$123),"",ReferenceData!$L$123),"")</f>
        <v>558222.91799999995</v>
      </c>
      <c r="M123">
        <f ca="1">IFERROR(IF(0=LEN(ReferenceData!$M$123),"",ReferenceData!$M$123),"")</f>
        <v>561825.21699999995</v>
      </c>
      <c r="N123">
        <f ca="1">IFERROR(IF(0=LEN(ReferenceData!$N$123),"",ReferenceData!$N$123),"")</f>
        <v>557293.58200000005</v>
      </c>
      <c r="O123">
        <f ca="1">IFERROR(IF(0=LEN(ReferenceData!$O$123),"",ReferenceData!$O$123),"")</f>
        <v>559495.69900000002</v>
      </c>
      <c r="P123">
        <f ca="1">IFERROR(IF(0=LEN(ReferenceData!$P$123),"",ReferenceData!$P$123),"")</f>
        <v>541012.603</v>
      </c>
      <c r="Q123">
        <f ca="1">IFERROR(IF(0=LEN(ReferenceData!$Q$123),"",ReferenceData!$Q$123),"")</f>
        <v>541469.01399999997</v>
      </c>
      <c r="R123">
        <f ca="1">IFERROR(IF(0=LEN(ReferenceData!$R$123),"",ReferenceData!$R$123),"")</f>
        <v>557251.076</v>
      </c>
      <c r="S123">
        <f ca="1">IFERROR(IF(0=LEN(ReferenceData!$S$123),"",ReferenceData!$S$123),"")</f>
        <v>554456.68900000001</v>
      </c>
      <c r="T123">
        <f ca="1">IFERROR(IF(0=LEN(ReferenceData!$T$123),"",ReferenceData!$T$123),"")</f>
        <v>554775.84</v>
      </c>
      <c r="U123">
        <f ca="1">IFERROR(IF(0=LEN(ReferenceData!$U$123),"",ReferenceData!$U$123),"")</f>
        <v>474509.29499999998</v>
      </c>
      <c r="V123">
        <f ca="1">IFERROR(IF(0=LEN(ReferenceData!$V$123),"",ReferenceData!$V$123),"")</f>
        <v>466864.739</v>
      </c>
      <c r="W123">
        <f ca="1">IFERROR(IF(0=LEN(ReferenceData!$W$123),"",ReferenceData!$W$123),"")</f>
        <v>461914.32699999999</v>
      </c>
      <c r="X123">
        <f ca="1">IFERROR(IF(0=LEN(ReferenceData!$X$123),"",ReferenceData!$X$123),"")</f>
        <v>459038.46299999999</v>
      </c>
      <c r="Y123">
        <f ca="1">IFERROR(IF(0=LEN(ReferenceData!$Y$123),"",ReferenceData!$Y$123),"")</f>
        <v>445567.54599999997</v>
      </c>
      <c r="Z123">
        <f ca="1">IFERROR(IF(0=LEN(ReferenceData!$Z$123),"",ReferenceData!$Z$123),"")</f>
        <v>410373.28100000002</v>
      </c>
      <c r="AA123">
        <f ca="1">IFERROR(IF(0=LEN(ReferenceData!$AA$123),"",ReferenceData!$AA$123),"")</f>
        <v>409007.22700000001</v>
      </c>
      <c r="AB123">
        <f ca="1">IFERROR(IF(0=LEN(ReferenceData!$AB$123),"",ReferenceData!$AB$123),"")</f>
        <v>405855.13500000001</v>
      </c>
      <c r="AC123">
        <f ca="1">IFERROR(IF(0=LEN(ReferenceData!$AC$123),"",ReferenceData!$AC$123),"")</f>
        <v>392853.92300000001</v>
      </c>
      <c r="AD123">
        <f ca="1">IFERROR(IF(0=LEN(ReferenceData!$AD$123),"",ReferenceData!$AD$123),"")</f>
        <v>382334.64299999998</v>
      </c>
      <c r="AE123">
        <f ca="1">IFERROR(IF(0=LEN(ReferenceData!$AE$123),"",ReferenceData!$AE$123),"")</f>
        <v>380275.66600000003</v>
      </c>
      <c r="AF123">
        <f ca="1">IFERROR(IF(0=LEN(ReferenceData!$AF$123),"",ReferenceData!$AF$123),"")</f>
        <v>380796.20699999999</v>
      </c>
      <c r="AG123">
        <f ca="1">IFERROR(IF(0=LEN(ReferenceData!$AG$123),"",ReferenceData!$AG$123),"")</f>
        <v>379753.92300000001</v>
      </c>
      <c r="AH123">
        <f ca="1">IFERROR(IF(0=LEN(ReferenceData!$AH$123),"",ReferenceData!$AH$123),"")</f>
        <v>381450.62199999997</v>
      </c>
      <c r="AI123">
        <f ca="1">IFERROR(IF(0=LEN(ReferenceData!$AI$123),"",ReferenceData!$AI$123),"")</f>
        <v>375255.76500000001</v>
      </c>
      <c r="AJ123">
        <f ca="1">IFERROR(IF(0=LEN(ReferenceData!$AJ$123),"",ReferenceData!$AJ$123),"")</f>
        <v>372356.96100000001</v>
      </c>
      <c r="AK123">
        <f ca="1">IFERROR(IF(0=LEN(ReferenceData!$AK$123),"",ReferenceData!$AK$123),"")</f>
        <v>371278.32699999999</v>
      </c>
      <c r="AL123">
        <f ca="1">IFERROR(IF(0=LEN(ReferenceData!$AL$123),"",ReferenceData!$AL$123),"")</f>
        <v>366872.24900000001</v>
      </c>
      <c r="AM123">
        <f ca="1">IFERROR(IF(0=LEN(ReferenceData!$AM$123),"",ReferenceData!$AM$123),"")</f>
        <v>369441.90500000003</v>
      </c>
      <c r="AN123">
        <f ca="1">IFERROR(IF(0=LEN(ReferenceData!$AN$123),"",ReferenceData!$AN$123),"")</f>
        <v>361528.40600000002</v>
      </c>
      <c r="AO123">
        <f ca="1">IFERROR(IF(0=LEN(ReferenceData!$AO$123),"",ReferenceData!$AO$123),"")</f>
        <v>361187.04</v>
      </c>
      <c r="AP123">
        <f ca="1">IFERROR(IF(0=LEN(ReferenceData!$AP$123),"",ReferenceData!$AP$123),"")</f>
        <v>358690.08500000002</v>
      </c>
      <c r="AQ123">
        <f ca="1">IFERROR(IF(0=LEN(ReferenceData!$AQ$123),"",ReferenceData!$AQ$123),"")</f>
        <v>362137.16399999999</v>
      </c>
      <c r="AR123">
        <f ca="1">IFERROR(IF(0=LEN(ReferenceData!$AR$123),"",ReferenceData!$AR$123),"")</f>
        <v>354201.92499999999</v>
      </c>
      <c r="AS123">
        <f ca="1">IFERROR(IF(0=LEN(ReferenceData!$AS$123),"",ReferenceData!$AS$123),"")</f>
        <v>351162.10499999998</v>
      </c>
      <c r="AT123">
        <f ca="1">IFERROR(IF(0=LEN(ReferenceData!$AT$123),"",ReferenceData!$AT$123),"")</f>
        <v>345243.08100000001</v>
      </c>
      <c r="AU123">
        <f ca="1">IFERROR(IF(0=LEN(ReferenceData!$AU$123),"",ReferenceData!$AU$123),"")</f>
        <v>334602.342</v>
      </c>
      <c r="AV123">
        <f ca="1">IFERROR(IF(0=LEN(ReferenceData!$AV$123),"",ReferenceData!$AV$123),"")</f>
        <v>327251.47399999999</v>
      </c>
      <c r="AW123">
        <f ca="1">IFERROR(IF(0=LEN(ReferenceData!$AW$123),"",ReferenceData!$AW$123),"")</f>
        <v>323586.973</v>
      </c>
      <c r="AX123">
        <f ca="1">IFERROR(IF(0=LEN(ReferenceData!$AX$123),"",ReferenceData!$AX$123),"")</f>
        <v>320596.23200000002</v>
      </c>
      <c r="AY123">
        <f ca="1">IFERROR(IF(0=LEN(ReferenceData!$AY$123),"",ReferenceData!$AY$123),"")</f>
        <v>308912.603</v>
      </c>
      <c r="AZ123">
        <f ca="1">IFERROR(IF(0=LEN(ReferenceData!$AZ$123),"",ReferenceData!$AZ$123),"")</f>
        <v>304547.66700000002</v>
      </c>
      <c r="BA123">
        <f ca="1">IFERROR(IF(0=LEN(ReferenceData!$BA$123),"",ReferenceData!$BA$123),"")</f>
        <v>300945.93300000002</v>
      </c>
      <c r="BB123">
        <f ca="1">IFERROR(IF(0=LEN(ReferenceData!$BB$123),"",ReferenceData!$BB$123),"")</f>
        <v>305285.87900000002</v>
      </c>
      <c r="BC123">
        <f ca="1">IFERROR(IF(0=LEN(ReferenceData!$BC$123),"",ReferenceData!$BC$123),"")</f>
        <v>301077.31099999999</v>
      </c>
      <c r="BD123">
        <f ca="1">IFERROR(IF(0=LEN(ReferenceData!$BD$123),"",ReferenceData!$BD$123),"")</f>
        <v>299712.01799999998</v>
      </c>
      <c r="BE123">
        <f ca="1">IFERROR(IF(0=LEN(ReferenceData!$BE$123),"",ReferenceData!$BE$123),"")</f>
        <v>296119.07</v>
      </c>
      <c r="BF123">
        <f ca="1">IFERROR(IF(0=LEN(ReferenceData!$BF$123),"",ReferenceData!$BF$123),"")</f>
        <v>271407.158</v>
      </c>
      <c r="BG123">
        <f ca="1">IFERROR(IF(0=LEN(ReferenceData!$BG$123),"",ReferenceData!$BG$123),"")</f>
        <v>269555.46600000001</v>
      </c>
      <c r="BH123">
        <f ca="1">IFERROR(IF(0=LEN(ReferenceData!$BH$123),"",ReferenceData!$BH$123),"")</f>
        <v>263259.89399999997</v>
      </c>
      <c r="BI123">
        <f ca="1">IFERROR(IF(0=LEN(ReferenceData!$BI$123),"",ReferenceData!$BI$123),"")</f>
        <v>259500.61199999999</v>
      </c>
      <c r="BJ123">
        <f ca="1">IFERROR(IF(0=LEN(ReferenceData!$BJ$123),"",ReferenceData!$BJ$123),"")</f>
        <v>264414.11200000002</v>
      </c>
      <c r="BK123">
        <f ca="1">IFERROR(IF(0=LEN(ReferenceData!$BK$123),"",ReferenceData!$BK$123),"")</f>
        <v>260174.10200000001</v>
      </c>
      <c r="BL123">
        <f ca="1">IFERROR(IF(0=LEN(ReferenceData!$BL$123),"",ReferenceData!$BL$123),"")</f>
        <v>261769.26199999999</v>
      </c>
      <c r="BM123">
        <f ca="1">IFERROR(IF(0=LEN(ReferenceData!$BM$123),"",ReferenceData!$BM$123),"")</f>
        <v>265432.97700000001</v>
      </c>
    </row>
    <row r="124" spans="1:65" x14ac:dyDescent="0.25">
      <c r="A124" t="str">
        <f>IFERROR(IF(0=LEN(ReferenceData!$A$124),"",ReferenceData!$A$124),"")</f>
        <v xml:space="preserve">            Regions Financial Corp</v>
      </c>
      <c r="B124" t="str">
        <f>IFERROR(IF(0=LEN(ReferenceData!$B$124),"",ReferenceData!$B$124),"")</f>
        <v>RF US Equity</v>
      </c>
      <c r="C124" t="str">
        <f>IFERROR(IF(0=LEN(ReferenceData!$C$124),"",ReferenceData!$C$124),"")</f>
        <v>FC001</v>
      </c>
      <c r="D124" t="str">
        <f>IFERROR(IF(0=LEN(ReferenceData!$D$124),"",ReferenceData!$D$124),"")</f>
        <v>FDIC_TOTAL_ASSETS</v>
      </c>
      <c r="E124" t="str">
        <f>IFERROR(IF(0=LEN(ReferenceData!$E$124),"",ReferenceData!$E$124),"")</f>
        <v>Dynamic</v>
      </c>
      <c r="F124" t="str">
        <f ca="1">IFERROR(IF(0=LEN(ReferenceData!$F$124),"",ReferenceData!$F$124),"")</f>
        <v/>
      </c>
      <c r="G124">
        <f ca="1">IFERROR(IF(0=LEN(ReferenceData!$G$124),"",ReferenceData!$G$124),"")</f>
        <v>157740</v>
      </c>
      <c r="H124">
        <f ca="1">IFERROR(IF(0=LEN(ReferenceData!$H$124),"",ReferenceData!$H$124),"")</f>
        <v>154396</v>
      </c>
      <c r="I124">
        <f ca="1">IFERROR(IF(0=LEN(ReferenceData!$I$124),"",ReferenceData!$I$124),"")</f>
        <v>155227</v>
      </c>
      <c r="J124">
        <f ca="1">IFERROR(IF(0=LEN(ReferenceData!$J$124),"",ReferenceData!$J$124),"")</f>
        <v>152632</v>
      </c>
      <c r="K124">
        <f ca="1">IFERROR(IF(0=LEN(ReferenceData!$K$124),"",ReferenceData!$K$124),"")</f>
        <v>154218</v>
      </c>
      <c r="L124">
        <f ca="1">IFERROR(IF(0=LEN(ReferenceData!$L$124),"",ReferenceData!$L$124),"")</f>
        <v>155878</v>
      </c>
      <c r="M124">
        <f ca="1">IFERROR(IF(0=LEN(ReferenceData!$M$124),"",ReferenceData!$M$124),"")</f>
        <v>154296</v>
      </c>
      <c r="N124">
        <f ca="1">IFERROR(IF(0=LEN(ReferenceData!$N$124),"",ReferenceData!$N$124),"")</f>
        <v>155628</v>
      </c>
      <c r="O124">
        <f ca="1">IFERROR(IF(0=LEN(ReferenceData!$O$124),"",ReferenceData!$O$124),"")</f>
        <v>157943</v>
      </c>
      <c r="P124">
        <f ca="1">IFERROR(IF(0=LEN(ReferenceData!$P$124),"",ReferenceData!$P$124),"")</f>
        <v>160952</v>
      </c>
      <c r="Q124">
        <f ca="1">IFERROR(IF(0=LEN(ReferenceData!$Q$124),"",ReferenceData!$Q$124),"")</f>
        <v>164366</v>
      </c>
      <c r="R124">
        <f ca="1">IFERROR(IF(0=LEN(ReferenceData!$R$124),"",ReferenceData!$R$124),"")</f>
        <v>163445</v>
      </c>
      <c r="S124">
        <f ca="1">IFERROR(IF(0=LEN(ReferenceData!$S$124),"",ReferenceData!$S$124),"")</f>
        <v>156405</v>
      </c>
      <c r="T124">
        <f ca="1">IFERROR(IF(0=LEN(ReferenceData!$T$124),"",ReferenceData!$T$124),"")</f>
        <v>155754</v>
      </c>
      <c r="U124">
        <f ca="1">IFERROR(IF(0=LEN(ReferenceData!$U$124),"",ReferenceData!$U$124),"")</f>
        <v>153506</v>
      </c>
      <c r="V124">
        <f ca="1">IFERROR(IF(0=LEN(ReferenceData!$V$124),"",ReferenceData!$V$124),"")</f>
        <v>147598</v>
      </c>
      <c r="W124">
        <f ca="1">IFERROR(IF(0=LEN(ReferenceData!$W$124),"",ReferenceData!$W$124),"")</f>
        <v>145447</v>
      </c>
      <c r="X124">
        <f ca="1">IFERROR(IF(0=LEN(ReferenceData!$X$124),"",ReferenceData!$X$124),"")</f>
        <v>144373</v>
      </c>
      <c r="Y124">
        <f ca="1">IFERROR(IF(0=LEN(ReferenceData!$Y$124),"",ReferenceData!$Y$124),"")</f>
        <v>133638</v>
      </c>
      <c r="Z124">
        <f ca="1">IFERROR(IF(0=LEN(ReferenceData!$Z$124),"",ReferenceData!$Z$124),"")</f>
        <v>126633</v>
      </c>
      <c r="AA124">
        <f ca="1">IFERROR(IF(0=LEN(ReferenceData!$AA$124),"",ReferenceData!$AA$124),"")</f>
        <v>128436</v>
      </c>
      <c r="AB124">
        <f ca="1">IFERROR(IF(0=LEN(ReferenceData!$AB$124),"",ReferenceData!$AB$124),"")</f>
        <v>127871</v>
      </c>
      <c r="AC124">
        <f ca="1">IFERROR(IF(0=LEN(ReferenceData!$AC$124),"",ReferenceData!$AC$124),"")</f>
        <v>129089</v>
      </c>
      <c r="AD124">
        <f ca="1">IFERROR(IF(0=LEN(ReferenceData!$AD$124),"",ReferenceData!$AD$124),"")</f>
        <v>125767.14599999999</v>
      </c>
      <c r="AE124">
        <f ca="1">IFERROR(IF(0=LEN(ReferenceData!$AE$124),"",ReferenceData!$AE$124),"")</f>
        <v>124821.814</v>
      </c>
      <c r="AF124">
        <f ca="1">IFERROR(IF(0=LEN(ReferenceData!$AF$124),"",ReferenceData!$AF$124),"")</f>
        <v>124789.25</v>
      </c>
      <c r="AG124">
        <f ca="1">IFERROR(IF(0=LEN(ReferenceData!$AG$124),"",ReferenceData!$AG$124),"")</f>
        <v>123041.692</v>
      </c>
      <c r="AH124">
        <f ca="1">IFERROR(IF(0=LEN(ReferenceData!$AH$124),"",ReferenceData!$AH$124),"")</f>
        <v>124584.40399999999</v>
      </c>
      <c r="AI124">
        <f ca="1">IFERROR(IF(0=LEN(ReferenceData!$AI$124),"",ReferenceData!$AI$124),"")</f>
        <v>123518.484</v>
      </c>
      <c r="AJ124">
        <f ca="1">IFERROR(IF(0=LEN(ReferenceData!$AJ$124),"",ReferenceData!$AJ$124),"")</f>
        <v>124778.399</v>
      </c>
      <c r="AK124">
        <f ca="1">IFERROR(IF(0=LEN(ReferenceData!$AK$124),"",ReferenceData!$AK$124),"")</f>
        <v>124739.162</v>
      </c>
      <c r="AL124">
        <f ca="1">IFERROR(IF(0=LEN(ReferenceData!$AL$124),"",ReferenceData!$AL$124),"")</f>
        <v>126193.95699999999</v>
      </c>
      <c r="AM124">
        <f ca="1">IFERROR(IF(0=LEN(ReferenceData!$AM$124),"",ReferenceData!$AM$124),"")</f>
        <v>125307.103</v>
      </c>
      <c r="AN124">
        <f ca="1">IFERROR(IF(0=LEN(ReferenceData!$AN$124),"",ReferenceData!$AN$124),"")</f>
        <v>126378.482</v>
      </c>
      <c r="AO124">
        <f ca="1">IFERROR(IF(0=LEN(ReferenceData!$AO$124),"",ReferenceData!$AO$124),"")</f>
        <v>125747.379</v>
      </c>
      <c r="AP124">
        <f ca="1">IFERROR(IF(0=LEN(ReferenceData!$AP$124),"",ReferenceData!$AP$124),"")</f>
        <v>126234.344</v>
      </c>
      <c r="AQ124">
        <f ca="1">IFERROR(IF(0=LEN(ReferenceData!$AQ$124),"",ReferenceData!$AQ$124),"")</f>
        <v>124891.54</v>
      </c>
      <c r="AR124">
        <f ca="1">IFERROR(IF(0=LEN(ReferenceData!$AR$124),"",ReferenceData!$AR$124),"")</f>
        <v>121967.042</v>
      </c>
      <c r="AS124">
        <f ca="1">IFERROR(IF(0=LEN(ReferenceData!$AS$124),"",ReferenceData!$AS$124),"")</f>
        <v>122515.87699999999</v>
      </c>
      <c r="AT124">
        <f ca="1">IFERROR(IF(0=LEN(ReferenceData!$AT$124),"",ReferenceData!$AT$124),"")</f>
        <v>119888.66899999999</v>
      </c>
      <c r="AU124">
        <f ca="1">IFERROR(IF(0=LEN(ReferenceData!$AU$124),"",ReferenceData!$AU$124),"")</f>
        <v>119301.81299999999</v>
      </c>
      <c r="AV124">
        <f ca="1">IFERROR(IF(0=LEN(ReferenceData!$AV$124),"",ReferenceData!$AV$124),"")</f>
        <v>119013.705</v>
      </c>
      <c r="AW124">
        <f ca="1">IFERROR(IF(0=LEN(ReferenceData!$AW$124),"",ReferenceData!$AW$124),"")</f>
        <v>118136.516</v>
      </c>
      <c r="AX124">
        <f ca="1">IFERROR(IF(0=LEN(ReferenceData!$AX$124),"",ReferenceData!$AX$124),"")</f>
        <v>117661.732</v>
      </c>
      <c r="AY124">
        <f ca="1">IFERROR(IF(0=LEN(ReferenceData!$AY$124),"",ReferenceData!$AY$124),"")</f>
        <v>116937.255</v>
      </c>
      <c r="AZ124">
        <f ca="1">IFERROR(IF(0=LEN(ReferenceData!$AZ$124),"",ReferenceData!$AZ$124),"")</f>
        <v>118782.56299999999</v>
      </c>
      <c r="BA124">
        <f ca="1">IFERROR(IF(0=LEN(ReferenceData!$BA$124),"",ReferenceData!$BA$124),"")</f>
        <v>119717.632</v>
      </c>
      <c r="BB124">
        <f ca="1">IFERROR(IF(0=LEN(ReferenceData!$BB$124),"",ReferenceData!$BB$124),"")</f>
        <v>121347.38800000001</v>
      </c>
      <c r="BC124">
        <f ca="1">IFERROR(IF(0=LEN(ReferenceData!$BC$124),"",ReferenceData!$BC$124),"")</f>
        <v>121797.804</v>
      </c>
      <c r="BD124">
        <f ca="1">IFERROR(IF(0=LEN(ReferenceData!$BD$124),"",ReferenceData!$BD$124),"")</f>
        <v>122344.664</v>
      </c>
      <c r="BE124">
        <f ca="1">IFERROR(IF(0=LEN(ReferenceData!$BE$124),"",ReferenceData!$BE$124),"")</f>
        <v>128281.787</v>
      </c>
      <c r="BF124">
        <f ca="1">IFERROR(IF(0=LEN(ReferenceData!$BF$124),"",ReferenceData!$BF$124),"")</f>
        <v>127049.90700000001</v>
      </c>
      <c r="BG124">
        <f ca="1">IFERROR(IF(0=LEN(ReferenceData!$BG$124),"",ReferenceData!$BG$124),"")</f>
        <v>129761.507</v>
      </c>
      <c r="BH124">
        <f ca="1">IFERROR(IF(0=LEN(ReferenceData!$BH$124),"",ReferenceData!$BH$124),"")</f>
        <v>130907.84</v>
      </c>
      <c r="BI124">
        <f ca="1">IFERROR(IF(0=LEN(ReferenceData!$BI$124),"",ReferenceData!$BI$124),"")</f>
        <v>131798.82399999999</v>
      </c>
      <c r="BJ124">
        <f ca="1">IFERROR(IF(0=LEN(ReferenceData!$BJ$124),"",ReferenceData!$BJ$124),"")</f>
        <v>132399.29</v>
      </c>
      <c r="BK124">
        <f ca="1">IFERROR(IF(0=LEN(ReferenceData!$BK$124),"",ReferenceData!$BK$124),"")</f>
        <v>133554.89600000001</v>
      </c>
      <c r="BL124">
        <f ca="1">IFERROR(IF(0=LEN(ReferenceData!$BL$124),"",ReferenceData!$BL$124),"")</f>
        <v>135392.66</v>
      </c>
      <c r="BM124">
        <f ca="1">IFERROR(IF(0=LEN(ReferenceData!$BM$124),"",ReferenceData!$BM$124),"")</f>
        <v>137287.28599999999</v>
      </c>
    </row>
    <row r="125" spans="1:65" x14ac:dyDescent="0.25">
      <c r="A125" t="str">
        <f>IFERROR(IF(0=LEN(ReferenceData!$A$125),"",ReferenceData!$A$125),"")</f>
        <v xml:space="preserve">            Truist Financial Corp</v>
      </c>
      <c r="B125" t="str">
        <f>IFERROR(IF(0=LEN(ReferenceData!$B$125),"",ReferenceData!$B$125),"")</f>
        <v>TFC US Equity</v>
      </c>
      <c r="C125" t="str">
        <f>IFERROR(IF(0=LEN(ReferenceData!$C$125),"",ReferenceData!$C$125),"")</f>
        <v>FC001</v>
      </c>
      <c r="D125" t="str">
        <f>IFERROR(IF(0=LEN(ReferenceData!$D$125),"",ReferenceData!$D$125),"")</f>
        <v>FDIC_TOTAL_ASSETS</v>
      </c>
      <c r="E125" t="str">
        <f>IFERROR(IF(0=LEN(ReferenceData!$E$125),"",ReferenceData!$E$125),"")</f>
        <v>Dynamic</v>
      </c>
      <c r="F125">
        <f ca="1">IFERROR(IF(0=LEN(ReferenceData!$F$125),"",ReferenceData!$F$125),"")</f>
        <v>531176</v>
      </c>
      <c r="G125">
        <f ca="1">IFERROR(IF(0=LEN(ReferenceData!$G$125),"",ReferenceData!$G$125),"")</f>
        <v>523434</v>
      </c>
      <c r="H125">
        <f ca="1">IFERROR(IF(0=LEN(ReferenceData!$H$125),"",ReferenceData!$H$125),"")</f>
        <v>519853</v>
      </c>
      <c r="I125">
        <f ca="1">IFERROR(IF(0=LEN(ReferenceData!$I$125),"",ReferenceData!$I$125),"")</f>
        <v>534959</v>
      </c>
      <c r="J125">
        <f ca="1">IFERROR(IF(0=LEN(ReferenceData!$J$125),"",ReferenceData!$J$125),"")</f>
        <v>535367</v>
      </c>
      <c r="K125">
        <f ca="1">IFERROR(IF(0=LEN(ReferenceData!$K$125),"",ReferenceData!$K$125),"")</f>
        <v>542966</v>
      </c>
      <c r="L125">
        <f ca="1">IFERROR(IF(0=LEN(ReferenceData!$L$125),"",ReferenceData!$L$125),"")</f>
        <v>554549</v>
      </c>
      <c r="M125">
        <f ca="1">IFERROR(IF(0=LEN(ReferenceData!$M$125),"",ReferenceData!$M$125),"")</f>
        <v>574549</v>
      </c>
      <c r="N125">
        <f ca="1">IFERROR(IF(0=LEN(ReferenceData!$N$125),"",ReferenceData!$N$125),"")</f>
        <v>555255</v>
      </c>
      <c r="O125">
        <f ca="1">IFERROR(IF(0=LEN(ReferenceData!$O$125),"",ReferenceData!$O$125),"")</f>
        <v>548438</v>
      </c>
      <c r="P125">
        <f ca="1">IFERROR(IF(0=LEN(ReferenceData!$P$125),"",ReferenceData!$P$125),"")</f>
        <v>545292</v>
      </c>
      <c r="Q125">
        <f ca="1">IFERROR(IF(0=LEN(ReferenceData!$Q$125),"",ReferenceData!$Q$125),"")</f>
        <v>543979</v>
      </c>
      <c r="R125">
        <f ca="1">IFERROR(IF(0=LEN(ReferenceData!$R$125),"",ReferenceData!$R$125),"")</f>
        <v>541241</v>
      </c>
      <c r="S125">
        <f ca="1">IFERROR(IF(0=LEN(ReferenceData!$S$125),"",ReferenceData!$S$125),"")</f>
        <v>529884</v>
      </c>
      <c r="T125">
        <f ca="1">IFERROR(IF(0=LEN(ReferenceData!$T$125),"",ReferenceData!$T$125),"")</f>
        <v>521964</v>
      </c>
      <c r="U125">
        <f ca="1">IFERROR(IF(0=LEN(ReferenceData!$U$125),"",ReferenceData!$U$125),"")</f>
        <v>517537</v>
      </c>
      <c r="V125">
        <f ca="1">IFERROR(IF(0=LEN(ReferenceData!$V$125),"",ReferenceData!$V$125),"")</f>
        <v>509228</v>
      </c>
      <c r="W125">
        <f ca="1">IFERROR(IF(0=LEN(ReferenceData!$W$125),"",ReferenceData!$W$125),"")</f>
        <v>499183</v>
      </c>
      <c r="X125">
        <f ca="1">IFERROR(IF(0=LEN(ReferenceData!$X$125),"",ReferenceData!$X$125),"")</f>
        <v>504336</v>
      </c>
      <c r="Y125">
        <f ca="1">IFERROR(IF(0=LEN(ReferenceData!$Y$125),"",ReferenceData!$Y$125),"")</f>
        <v>506229</v>
      </c>
      <c r="Z125">
        <f ca="1">IFERROR(IF(0=LEN(ReferenceData!$Z$125),"",ReferenceData!$Z$125),"")</f>
        <v>473078</v>
      </c>
      <c r="AA125">
        <f ca="1">IFERROR(IF(0=LEN(ReferenceData!$AA$125),"",ReferenceData!$AA$125),"")</f>
        <v>236750</v>
      </c>
      <c r="AB125">
        <f ca="1">IFERROR(IF(0=LEN(ReferenceData!$AB$125),"",ReferenceData!$AB$125),"")</f>
        <v>230872</v>
      </c>
      <c r="AC125">
        <f ca="1">IFERROR(IF(0=LEN(ReferenceData!$AC$125),"",ReferenceData!$AC$125),"")</f>
        <v>227683</v>
      </c>
      <c r="AD125">
        <f ca="1">IFERROR(IF(0=LEN(ReferenceData!$AD$125),"",ReferenceData!$AD$125),"")</f>
        <v>225697</v>
      </c>
      <c r="AE125">
        <f ca="1">IFERROR(IF(0=LEN(ReferenceData!$AE$125),"",ReferenceData!$AE$125),"")</f>
        <v>222885</v>
      </c>
      <c r="AF125">
        <f ca="1">IFERROR(IF(0=LEN(ReferenceData!$AF$125),"",ReferenceData!$AF$125),"")</f>
        <v>222681</v>
      </c>
      <c r="AG125">
        <f ca="1">IFERROR(IF(0=LEN(ReferenceData!$AG$125),"",ReferenceData!$AG$125),"")</f>
        <v>220729</v>
      </c>
      <c r="AH125">
        <f ca="1">IFERROR(IF(0=LEN(ReferenceData!$AH$125),"",ReferenceData!$AH$125),"")</f>
        <v>221642</v>
      </c>
      <c r="AI125">
        <f ca="1">IFERROR(IF(0=LEN(ReferenceData!$AI$125),"",ReferenceData!$AI$125),"")</f>
        <v>220340</v>
      </c>
      <c r="AJ125">
        <f ca="1">IFERROR(IF(0=LEN(ReferenceData!$AJ$125),"",ReferenceData!$AJ$125),"")</f>
        <v>221192</v>
      </c>
      <c r="AK125">
        <f ca="1">IFERROR(IF(0=LEN(ReferenceData!$AK$125),"",ReferenceData!$AK$125),"")</f>
        <v>220500.51800000001</v>
      </c>
      <c r="AL125">
        <f ca="1">IFERROR(IF(0=LEN(ReferenceData!$AL$125),"",ReferenceData!$AL$125),"")</f>
        <v>219276.323</v>
      </c>
      <c r="AM125">
        <f ca="1">IFERROR(IF(0=LEN(ReferenceData!$AM$125),"",ReferenceData!$AM$125),"")</f>
        <v>222622.299</v>
      </c>
      <c r="AN125">
        <f ca="1">IFERROR(IF(0=LEN(ReferenceData!$AN$125),"",ReferenceData!$AN$125),"")</f>
        <v>221858.61499999999</v>
      </c>
      <c r="AO125">
        <f ca="1">IFERROR(IF(0=LEN(ReferenceData!$AO$125),"",ReferenceData!$AO$125),"")</f>
        <v>212405.266</v>
      </c>
      <c r="AP125">
        <f ca="1">IFERROR(IF(0=LEN(ReferenceData!$AP$125),"",ReferenceData!$AP$125),"")</f>
        <v>209947.022</v>
      </c>
      <c r="AQ125">
        <f ca="1">IFERROR(IF(0=LEN(ReferenceData!$AQ$125),"",ReferenceData!$AQ$125),"")</f>
        <v>208808.671</v>
      </c>
      <c r="AR125">
        <f ca="1">IFERROR(IF(0=LEN(ReferenceData!$AR$125),"",ReferenceData!$AR$125),"")</f>
        <v>191017.48199999999</v>
      </c>
      <c r="AS125">
        <f ca="1">IFERROR(IF(0=LEN(ReferenceData!$AS$125),"",ReferenceData!$AS$125),"")</f>
        <v>189227.83799999999</v>
      </c>
      <c r="AT125">
        <f ca="1">IFERROR(IF(0=LEN(ReferenceData!$AT$125),"",ReferenceData!$AT$125),"")</f>
        <v>186813.98699999999</v>
      </c>
      <c r="AU125">
        <f ca="1">IFERROR(IF(0=LEN(ReferenceData!$AU$125),"",ReferenceData!$AU$125),"")</f>
        <v>187021.50899999999</v>
      </c>
      <c r="AV125">
        <f ca="1">IFERROR(IF(0=LEN(ReferenceData!$AV$125),"",ReferenceData!$AV$125),"")</f>
        <v>188012.33</v>
      </c>
      <c r="AW125">
        <f ca="1">IFERROR(IF(0=LEN(ReferenceData!$AW$125),"",ReferenceData!$AW$125),"")</f>
        <v>184651.158</v>
      </c>
      <c r="AX125">
        <f ca="1">IFERROR(IF(0=LEN(ReferenceData!$AX$125),"",ReferenceData!$AX$125),"")</f>
        <v>183009.992</v>
      </c>
      <c r="AY125">
        <f ca="1">IFERROR(IF(0=LEN(ReferenceData!$AY$125),"",ReferenceData!$AY$125),"")</f>
        <v>181050.008</v>
      </c>
      <c r="AZ125">
        <f ca="1">IFERROR(IF(0=LEN(ReferenceData!$AZ$125),"",ReferenceData!$AZ$125),"")</f>
        <v>182735.15299999999</v>
      </c>
      <c r="BA125">
        <f ca="1">IFERROR(IF(0=LEN(ReferenceData!$BA$125),"",ReferenceData!$BA$125),"")</f>
        <v>180836.75700000001</v>
      </c>
      <c r="BB125">
        <f ca="1">IFERROR(IF(0=LEN(ReferenceData!$BB$125),"",ReferenceData!$BB$125),"")</f>
        <v>183872.37100000001</v>
      </c>
      <c r="BC125">
        <f ca="1">IFERROR(IF(0=LEN(ReferenceData!$BC$125),"",ReferenceData!$BC$125),"")</f>
        <v>182021.37100000001</v>
      </c>
      <c r="BD125">
        <f ca="1">IFERROR(IF(0=LEN(ReferenceData!$BD$125),"",ReferenceData!$BD$125),"")</f>
        <v>178529.372</v>
      </c>
      <c r="BE125">
        <f ca="1">IFERROR(IF(0=LEN(ReferenceData!$BE$125),"",ReferenceData!$BE$125),"")</f>
        <v>174751.894</v>
      </c>
      <c r="BF125">
        <f ca="1">IFERROR(IF(0=LEN(ReferenceData!$BF$125),"",ReferenceData!$BF$125),"")</f>
        <v>174579.29399999999</v>
      </c>
      <c r="BG125">
        <f ca="1">IFERROR(IF(0=LEN(ReferenceData!$BG$125),"",ReferenceData!$BG$125),"")</f>
        <v>167676.889</v>
      </c>
      <c r="BH125">
        <f ca="1">IFERROR(IF(0=LEN(ReferenceData!$BH$125),"",ReferenceData!$BH$125),"")</f>
        <v>159309.671</v>
      </c>
      <c r="BI125">
        <f ca="1">IFERROR(IF(0=LEN(ReferenceData!$BI$125),"",ReferenceData!$BI$125),"")</f>
        <v>157039.11799999999</v>
      </c>
      <c r="BJ125">
        <f ca="1">IFERROR(IF(0=LEN(ReferenceData!$BJ$125),"",ReferenceData!$BJ$125),"")</f>
        <v>157081.39600000001</v>
      </c>
      <c r="BK125">
        <f ca="1">IFERROR(IF(0=LEN(ReferenceData!$BK$125),"",ReferenceData!$BK$125),"")</f>
        <v>157230.367</v>
      </c>
      <c r="BL125">
        <f ca="1">IFERROR(IF(0=LEN(ReferenceData!$BL$125),"",ReferenceData!$BL$125),"")</f>
        <v>155083.05799999999</v>
      </c>
      <c r="BM125" t="str">
        <f ca="1">IFERROR(IF(0=LEN(ReferenceData!$BM$125),"",ReferenceData!$BM$125),"")</f>
        <v/>
      </c>
    </row>
    <row r="126" spans="1:65" x14ac:dyDescent="0.25">
      <c r="A126" t="str">
        <f>IFERROR(IF(0=LEN(ReferenceData!$A$126),"",ReferenceData!$A$126),"")</f>
        <v xml:space="preserve">            US Bancorp</v>
      </c>
      <c r="B126" t="str">
        <f>IFERROR(IF(0=LEN(ReferenceData!$B$126),"",ReferenceData!$B$126),"")</f>
        <v>USB US Equity</v>
      </c>
      <c r="C126" t="str">
        <f>IFERROR(IF(0=LEN(ReferenceData!$C$126),"",ReferenceData!$C$126),"")</f>
        <v>FC001</v>
      </c>
      <c r="D126" t="str">
        <f>IFERROR(IF(0=LEN(ReferenceData!$D$126),"",ReferenceData!$D$126),"")</f>
        <v>FDIC_TOTAL_ASSETS</v>
      </c>
      <c r="E126" t="str">
        <f>IFERROR(IF(0=LEN(ReferenceData!$E$126),"",ReferenceData!$E$126),"")</f>
        <v>Dynamic</v>
      </c>
      <c r="F126">
        <f ca="1">IFERROR(IF(0=LEN(ReferenceData!$F$126),"",ReferenceData!$F$126),"")</f>
        <v>678318</v>
      </c>
      <c r="G126">
        <f ca="1">IFERROR(IF(0=LEN(ReferenceData!$G$126),"",ReferenceData!$G$126),"")</f>
        <v>686469</v>
      </c>
      <c r="H126">
        <f ca="1">IFERROR(IF(0=LEN(ReferenceData!$H$126),"",ReferenceData!$H$126),"")</f>
        <v>680058</v>
      </c>
      <c r="I126">
        <f ca="1">IFERROR(IF(0=LEN(ReferenceData!$I$126),"",ReferenceData!$I$126),"")</f>
        <v>683606</v>
      </c>
      <c r="J126">
        <f ca="1">IFERROR(IF(0=LEN(ReferenceData!$J$126),"",ReferenceData!$J$126),"")</f>
        <v>663491</v>
      </c>
      <c r="K126">
        <f ca="1">IFERROR(IF(0=LEN(ReferenceData!$K$126),"",ReferenceData!$K$126),"")</f>
        <v>668039</v>
      </c>
      <c r="L126">
        <f ca="1">IFERROR(IF(0=LEN(ReferenceData!$L$126),"",ReferenceData!$L$126),"")</f>
        <v>680825</v>
      </c>
      <c r="M126">
        <f ca="1">IFERROR(IF(0=LEN(ReferenceData!$M$126),"",ReferenceData!$M$126),"")</f>
        <v>682377</v>
      </c>
      <c r="N126">
        <f ca="1">IFERROR(IF(0=LEN(ReferenceData!$N$126),"",ReferenceData!$N$126),"")</f>
        <v>674805</v>
      </c>
      <c r="O126">
        <f ca="1">IFERROR(IF(0=LEN(ReferenceData!$O$126),"",ReferenceData!$O$126),"")</f>
        <v>600973</v>
      </c>
      <c r="P126">
        <f ca="1">IFERROR(IF(0=LEN(ReferenceData!$P$126),"",ReferenceData!$P$126),"")</f>
        <v>591381</v>
      </c>
      <c r="Q126">
        <f ca="1">IFERROR(IF(0=LEN(ReferenceData!$Q$126),"",ReferenceData!$Q$126),"")</f>
        <v>586517</v>
      </c>
      <c r="R126">
        <f ca="1">IFERROR(IF(0=LEN(ReferenceData!$R$126),"",ReferenceData!$R$126),"")</f>
        <v>573284</v>
      </c>
      <c r="S126">
        <f ca="1">IFERROR(IF(0=LEN(ReferenceData!$S$126),"",ReferenceData!$S$126),"")</f>
        <v>567495</v>
      </c>
      <c r="T126">
        <f ca="1">IFERROR(IF(0=LEN(ReferenceData!$T$126),"",ReferenceData!$T$126),"")</f>
        <v>558886</v>
      </c>
      <c r="U126">
        <f ca="1">IFERROR(IF(0=LEN(ReferenceData!$U$126),"",ReferenceData!$U$126),"")</f>
        <v>553375</v>
      </c>
      <c r="V126">
        <f ca="1">IFERROR(IF(0=LEN(ReferenceData!$V$126),"",ReferenceData!$V$126),"")</f>
        <v>553905</v>
      </c>
      <c r="W126">
        <f ca="1">IFERROR(IF(0=LEN(ReferenceData!$W$126),"",ReferenceData!$W$126),"")</f>
        <v>540455</v>
      </c>
      <c r="X126">
        <f ca="1">IFERROR(IF(0=LEN(ReferenceData!$X$126),"",ReferenceData!$X$126),"")</f>
        <v>546652</v>
      </c>
      <c r="Y126">
        <f ca="1">IFERROR(IF(0=LEN(ReferenceData!$Y$126),"",ReferenceData!$Y$126),"")</f>
        <v>542909</v>
      </c>
      <c r="Z126">
        <f ca="1">IFERROR(IF(0=LEN(ReferenceData!$Z$126),"",ReferenceData!$Z$126),"")</f>
        <v>495426</v>
      </c>
      <c r="AA126">
        <f ca="1">IFERROR(IF(0=LEN(ReferenceData!$AA$126),"",ReferenceData!$AA$126),"")</f>
        <v>487671</v>
      </c>
      <c r="AB126">
        <f ca="1">IFERROR(IF(0=LEN(ReferenceData!$AB$126),"",ReferenceData!$AB$126),"")</f>
        <v>481719</v>
      </c>
      <c r="AC126">
        <f ca="1">IFERROR(IF(0=LEN(ReferenceData!$AC$126),"",ReferenceData!$AC$126),"")</f>
        <v>475775</v>
      </c>
      <c r="AD126">
        <f ca="1">IFERROR(IF(0=LEN(ReferenceData!$AD$126),"",ReferenceData!$AD$126),"")</f>
        <v>467374</v>
      </c>
      <c r="AE126">
        <f ca="1">IFERROR(IF(0=LEN(ReferenceData!$AE$126),"",ReferenceData!$AE$126),"")</f>
        <v>464607</v>
      </c>
      <c r="AF126">
        <f ca="1">IFERROR(IF(0=LEN(ReferenceData!$AF$126),"",ReferenceData!$AF$126),"")</f>
        <v>461329</v>
      </c>
      <c r="AG126">
        <f ca="1">IFERROR(IF(0=LEN(ReferenceData!$AG$126),"",ReferenceData!$AG$126),"")</f>
        <v>460119</v>
      </c>
      <c r="AH126">
        <f ca="1">IFERROR(IF(0=LEN(ReferenceData!$AH$126),"",ReferenceData!$AH$126),"")</f>
        <v>462040</v>
      </c>
      <c r="AI126">
        <f ca="1">IFERROR(IF(0=LEN(ReferenceData!$AI$126),"",ReferenceData!$AI$126),"")</f>
        <v>459227</v>
      </c>
      <c r="AJ126">
        <f ca="1">IFERROR(IF(0=LEN(ReferenceData!$AJ$126),"",ReferenceData!$AJ$126),"")</f>
        <v>463844</v>
      </c>
      <c r="AK126">
        <f ca="1">IFERROR(IF(0=LEN(ReferenceData!$AK$126),"",ReferenceData!$AK$126),"")</f>
        <v>449522</v>
      </c>
      <c r="AL126">
        <f ca="1">IFERROR(IF(0=LEN(ReferenceData!$AL$126),"",ReferenceData!$AL$126),"")</f>
        <v>445964</v>
      </c>
      <c r="AM126">
        <f ca="1">IFERROR(IF(0=LEN(ReferenceData!$AM$126),"",ReferenceData!$AM$126),"")</f>
        <v>454134</v>
      </c>
      <c r="AN126">
        <f ca="1">IFERROR(IF(0=LEN(ReferenceData!$AN$126),"",ReferenceData!$AN$126),"")</f>
        <v>438463</v>
      </c>
      <c r="AO126">
        <f ca="1">IFERROR(IF(0=LEN(ReferenceData!$AO$126),"",ReferenceData!$AO$126),"")</f>
        <v>428638</v>
      </c>
      <c r="AP126">
        <f ca="1">IFERROR(IF(0=LEN(ReferenceData!$AP$126),"",ReferenceData!$AP$126),"")</f>
        <v>421853</v>
      </c>
      <c r="AQ126">
        <f ca="1">IFERROR(IF(0=LEN(ReferenceData!$AQ$126),"",ReferenceData!$AQ$126),"")</f>
        <v>415943</v>
      </c>
      <c r="AR126">
        <f ca="1">IFERROR(IF(0=LEN(ReferenceData!$AR$126),"",ReferenceData!$AR$126),"")</f>
        <v>419075</v>
      </c>
      <c r="AS126">
        <f ca="1">IFERROR(IF(0=LEN(ReferenceData!$AS$126),"",ReferenceData!$AS$126),"")</f>
        <v>410233</v>
      </c>
      <c r="AT126">
        <f ca="1">IFERROR(IF(0=LEN(ReferenceData!$AT$126),"",ReferenceData!$AT$126),"")</f>
        <v>402529</v>
      </c>
      <c r="AU126">
        <f ca="1">IFERROR(IF(0=LEN(ReferenceData!$AU$126),"",ReferenceData!$AU$126),"")</f>
        <v>391284</v>
      </c>
      <c r="AV126">
        <f ca="1">IFERROR(IF(0=LEN(ReferenceData!$AV$126),"",ReferenceData!$AV$126),"")</f>
        <v>389065</v>
      </c>
      <c r="AW126">
        <f ca="1">IFERROR(IF(0=LEN(ReferenceData!$AW$126),"",ReferenceData!$AW$126),"")</f>
        <v>371289</v>
      </c>
      <c r="AX126">
        <f ca="1">IFERROR(IF(0=LEN(ReferenceData!$AX$126),"",ReferenceData!$AX$126),"")</f>
        <v>364021</v>
      </c>
      <c r="AY126">
        <f ca="1">IFERROR(IF(0=LEN(ReferenceData!$AY$126),"",ReferenceData!$AY$126),"")</f>
        <v>360681</v>
      </c>
      <c r="AZ126">
        <f ca="1">IFERROR(IF(0=LEN(ReferenceData!$AZ$126),"",ReferenceData!$AZ$126),"")</f>
        <v>353415</v>
      </c>
      <c r="BA126">
        <f ca="1">IFERROR(IF(0=LEN(ReferenceData!$BA$126),"",ReferenceData!$BA$126),"")</f>
        <v>355447</v>
      </c>
      <c r="BB126">
        <f ca="1">IFERROR(IF(0=LEN(ReferenceData!$BB$126),"",ReferenceData!$BB$126),"")</f>
        <v>353855</v>
      </c>
      <c r="BC126">
        <f ca="1">IFERROR(IF(0=LEN(ReferenceData!$BC$126),"",ReferenceData!$BC$126),"")</f>
        <v>352253</v>
      </c>
      <c r="BD126">
        <f ca="1">IFERROR(IF(0=LEN(ReferenceData!$BD$126),"",ReferenceData!$BD$126),"")</f>
        <v>353136</v>
      </c>
      <c r="BE126">
        <f ca="1">IFERROR(IF(0=LEN(ReferenceData!$BE$126),"",ReferenceData!$BE$126),"")</f>
        <v>340762</v>
      </c>
      <c r="BF126">
        <f ca="1">IFERROR(IF(0=LEN(ReferenceData!$BF$126),"",ReferenceData!$BF$126),"")</f>
        <v>340122</v>
      </c>
      <c r="BG126">
        <f ca="1">IFERROR(IF(0=LEN(ReferenceData!$BG$126),"",ReferenceData!$BG$126),"")</f>
        <v>330141</v>
      </c>
      <c r="BH126">
        <f ca="1">IFERROR(IF(0=LEN(ReferenceData!$BH$126),"",ReferenceData!$BH$126),"")</f>
        <v>320874</v>
      </c>
      <c r="BI126">
        <f ca="1">IFERROR(IF(0=LEN(ReferenceData!$BI$126),"",ReferenceData!$BI$126),"")</f>
        <v>311462</v>
      </c>
      <c r="BJ126">
        <f ca="1">IFERROR(IF(0=LEN(ReferenceData!$BJ$126),"",ReferenceData!$BJ$126),"")</f>
        <v>307786</v>
      </c>
      <c r="BK126">
        <f ca="1">IFERROR(IF(0=LEN(ReferenceData!$BK$126),"",ReferenceData!$BK$126),"")</f>
        <v>290654</v>
      </c>
      <c r="BL126">
        <f ca="1">IFERROR(IF(0=LEN(ReferenceData!$BL$126),"",ReferenceData!$BL$126),"")</f>
        <v>283243</v>
      </c>
      <c r="BM126" t="str">
        <f ca="1">IFERROR(IF(0=LEN(ReferenceData!$BM$126),"",ReferenceData!$BM$126),"")</f>
        <v/>
      </c>
    </row>
    <row r="127" spans="1:65" x14ac:dyDescent="0.25">
      <c r="A127" t="str">
        <f>IFERROR(IF(0=LEN(ReferenceData!$A$127),"",ReferenceData!$A$127),"")</f>
        <v xml:space="preserve">            Wells Fargo &amp; Co</v>
      </c>
      <c r="B127" t="str">
        <f>IFERROR(IF(0=LEN(ReferenceData!$B$127),"",ReferenceData!$B$127),"")</f>
        <v>WFC US Equity</v>
      </c>
      <c r="C127" t="str">
        <f>IFERROR(IF(0=LEN(ReferenceData!$C$127),"",ReferenceData!$C$127),"")</f>
        <v>FC001</v>
      </c>
      <c r="D127" t="str">
        <f>IFERROR(IF(0=LEN(ReferenceData!$D$127),"",ReferenceData!$D$127),"")</f>
        <v>FDIC_TOTAL_ASSETS</v>
      </c>
      <c r="E127" t="str">
        <f>IFERROR(IF(0=LEN(ReferenceData!$E$127),"",ReferenceData!$E$127),"")</f>
        <v>Dynamic</v>
      </c>
      <c r="F127">
        <f ca="1">IFERROR(IF(0=LEN(ReferenceData!$F$127),"",ReferenceData!$F$127),"")</f>
        <v>1929845</v>
      </c>
      <c r="G127">
        <f ca="1">IFERROR(IF(0=LEN(ReferenceData!$G$127),"",ReferenceData!$G$127),"")</f>
        <v>1922125</v>
      </c>
      <c r="H127">
        <f ca="1">IFERROR(IF(0=LEN(ReferenceData!$H$127),"",ReferenceData!$H$127),"")</f>
        <v>1940074</v>
      </c>
      <c r="I127">
        <f ca="1">IFERROR(IF(0=LEN(ReferenceData!$I$127),"",ReferenceData!$I$127),"")</f>
        <v>1959160</v>
      </c>
      <c r="J127">
        <f ca="1">IFERROR(IF(0=LEN(ReferenceData!$J$127),"",ReferenceData!$J$127),"")</f>
        <v>1932472</v>
      </c>
      <c r="K127">
        <f ca="1">IFERROR(IF(0=LEN(ReferenceData!$K$127),"",ReferenceData!$K$127),"")</f>
        <v>1909261</v>
      </c>
      <c r="L127">
        <f ca="1">IFERROR(IF(0=LEN(ReferenceData!$L$127),"",ReferenceData!$L$127),"")</f>
        <v>1876322</v>
      </c>
      <c r="M127">
        <f ca="1">IFERROR(IF(0=LEN(ReferenceData!$M$127),"",ReferenceData!$M$127),"")</f>
        <v>1886400</v>
      </c>
      <c r="N127">
        <f ca="1">IFERROR(IF(0=LEN(ReferenceData!$N$127),"",ReferenceData!$N$127),"")</f>
        <v>1881016</v>
      </c>
      <c r="O127">
        <f ca="1">IFERROR(IF(0=LEN(ReferenceData!$O$127),"",ReferenceData!$O$127),"")</f>
        <v>1877745</v>
      </c>
      <c r="P127">
        <f ca="1">IFERROR(IF(0=LEN(ReferenceData!$P$127),"",ReferenceData!$P$127),"")</f>
        <v>1881142</v>
      </c>
      <c r="Q127">
        <f ca="1">IFERROR(IF(0=LEN(ReferenceData!$Q$127),"",ReferenceData!$Q$127),"")</f>
        <v>1939709</v>
      </c>
      <c r="R127">
        <f ca="1">IFERROR(IF(0=LEN(ReferenceData!$R$127),"",ReferenceData!$R$127),"")</f>
        <v>1948068</v>
      </c>
      <c r="S127">
        <f ca="1">IFERROR(IF(0=LEN(ReferenceData!$S$127),"",ReferenceData!$S$127),"")</f>
        <v>1954901</v>
      </c>
      <c r="T127">
        <f ca="1">IFERROR(IF(0=LEN(ReferenceData!$T$127),"",ReferenceData!$T$127),"")</f>
        <v>1945996</v>
      </c>
      <c r="U127">
        <f ca="1">IFERROR(IF(0=LEN(ReferenceData!$U$127),"",ReferenceData!$U$127),"")</f>
        <v>1959543</v>
      </c>
      <c r="V127">
        <f ca="1">IFERROR(IF(0=LEN(ReferenceData!$V$127),"",ReferenceData!$V$127),"")</f>
        <v>1955163</v>
      </c>
      <c r="W127">
        <f ca="1">IFERROR(IF(0=LEN(ReferenceData!$W$127),"",ReferenceData!$W$127),"")</f>
        <v>1922220</v>
      </c>
      <c r="X127">
        <f ca="1">IFERROR(IF(0=LEN(ReferenceData!$X$127),"",ReferenceData!$X$127),"")</f>
        <v>1968766</v>
      </c>
      <c r="Y127">
        <f ca="1">IFERROR(IF(0=LEN(ReferenceData!$Y$127),"",ReferenceData!$Y$127),"")</f>
        <v>1981349</v>
      </c>
      <c r="Z127">
        <f ca="1">IFERROR(IF(0=LEN(ReferenceData!$Z$127),"",ReferenceData!$Z$127),"")</f>
        <v>1927555</v>
      </c>
      <c r="AA127">
        <f ca="1">IFERROR(IF(0=LEN(ReferenceData!$AA$127),"",ReferenceData!$AA$127),"")</f>
        <v>1943950</v>
      </c>
      <c r="AB127">
        <f ca="1">IFERROR(IF(0=LEN(ReferenceData!$AB$127),"",ReferenceData!$AB$127),"")</f>
        <v>1923388</v>
      </c>
      <c r="AC127">
        <f ca="1">IFERROR(IF(0=LEN(ReferenceData!$AC$127),"",ReferenceData!$AC$127),"")</f>
        <v>1887792</v>
      </c>
      <c r="AD127">
        <f ca="1">IFERROR(IF(0=LEN(ReferenceData!$AD$127),"",ReferenceData!$AD$127),"")</f>
        <v>1895883</v>
      </c>
      <c r="AE127">
        <f ca="1">IFERROR(IF(0=LEN(ReferenceData!$AE$127),"",ReferenceData!$AE$127),"")</f>
        <v>1872981</v>
      </c>
      <c r="AF127">
        <f ca="1">IFERROR(IF(0=LEN(ReferenceData!$AF$127),"",ReferenceData!$AF$127),"")</f>
        <v>1879700</v>
      </c>
      <c r="AG127">
        <f ca="1">IFERROR(IF(0=LEN(ReferenceData!$AG$127),"",ReferenceData!$AG$127),"")</f>
        <v>1915388</v>
      </c>
      <c r="AH127">
        <f ca="1">IFERROR(IF(0=LEN(ReferenceData!$AH$127),"",ReferenceData!$AH$127),"")</f>
        <v>1951757</v>
      </c>
      <c r="AI127">
        <f ca="1">IFERROR(IF(0=LEN(ReferenceData!$AI$127),"",ReferenceData!$AI$127),"")</f>
        <v>1934939</v>
      </c>
      <c r="AJ127">
        <f ca="1">IFERROR(IF(0=LEN(ReferenceData!$AJ$127),"",ReferenceData!$AJ$127),"")</f>
        <v>1930871</v>
      </c>
      <c r="AK127">
        <f ca="1">IFERROR(IF(0=LEN(ReferenceData!$AK$127),"",ReferenceData!$AK$127),"")</f>
        <v>1951564</v>
      </c>
      <c r="AL127">
        <f ca="1">IFERROR(IF(0=LEN(ReferenceData!$AL$127),"",ReferenceData!$AL$127),"")</f>
        <v>1930115</v>
      </c>
      <c r="AM127">
        <f ca="1">IFERROR(IF(0=LEN(ReferenceData!$AM$127),"",ReferenceData!$AM$127),"")</f>
        <v>1942124</v>
      </c>
      <c r="AN127">
        <f ca="1">IFERROR(IF(0=LEN(ReferenceData!$AN$127),"",ReferenceData!$AN$127),"")</f>
        <v>1889235</v>
      </c>
      <c r="AO127">
        <f ca="1">IFERROR(IF(0=LEN(ReferenceData!$AO$127),"",ReferenceData!$AO$127),"")</f>
        <v>1849182</v>
      </c>
      <c r="AP127">
        <f ca="1">IFERROR(IF(0=LEN(ReferenceData!$AP$127),"",ReferenceData!$AP$127),"")</f>
        <v>1787632</v>
      </c>
      <c r="AQ127">
        <f ca="1">IFERROR(IF(0=LEN(ReferenceData!$AQ$127),"",ReferenceData!$AQ$127),"")</f>
        <v>1751265</v>
      </c>
      <c r="AR127">
        <f ca="1">IFERROR(IF(0=LEN(ReferenceData!$AR$127),"",ReferenceData!$AR$127),"")</f>
        <v>1720617</v>
      </c>
      <c r="AS127">
        <f ca="1">IFERROR(IF(0=LEN(ReferenceData!$AS$127),"",ReferenceData!$AS$127),"")</f>
        <v>1737737</v>
      </c>
      <c r="AT127">
        <f ca="1">IFERROR(IF(0=LEN(ReferenceData!$AT$127),"",ReferenceData!$AT$127),"")</f>
        <v>1687155</v>
      </c>
      <c r="AU127">
        <f ca="1">IFERROR(IF(0=LEN(ReferenceData!$AU$127),"",ReferenceData!$AU$127),"")</f>
        <v>1636855</v>
      </c>
      <c r="AV127">
        <f ca="1">IFERROR(IF(0=LEN(ReferenceData!$AV$127),"",ReferenceData!$AV$127),"")</f>
        <v>1598874</v>
      </c>
      <c r="AW127">
        <f ca="1">IFERROR(IF(0=LEN(ReferenceData!$AW$127),"",ReferenceData!$AW$127),"")</f>
        <v>1546707</v>
      </c>
      <c r="AX127">
        <f ca="1">IFERROR(IF(0=LEN(ReferenceData!$AX$127),"",ReferenceData!$AX$127),"")</f>
        <v>1527015</v>
      </c>
      <c r="AY127">
        <f ca="1">IFERROR(IF(0=LEN(ReferenceData!$AY$127),"",ReferenceData!$AY$127),"")</f>
        <v>1488055</v>
      </c>
      <c r="AZ127">
        <f ca="1">IFERROR(IF(0=LEN(ReferenceData!$AZ$127),"",ReferenceData!$AZ$127),"")</f>
        <v>1440563</v>
      </c>
      <c r="BA127">
        <f ca="1">IFERROR(IF(0=LEN(ReferenceData!$BA$127),"",ReferenceData!$BA$127),"")</f>
        <v>1436634</v>
      </c>
      <c r="BB127">
        <f ca="1">IFERROR(IF(0=LEN(ReferenceData!$BB$127),"",ReferenceData!$BB$127),"")</f>
        <v>1422968</v>
      </c>
      <c r="BC127">
        <f ca="1">IFERROR(IF(0=LEN(ReferenceData!$BC$127),"",ReferenceData!$BC$127),"")</f>
        <v>1374715</v>
      </c>
      <c r="BD127">
        <f ca="1">IFERROR(IF(0=LEN(ReferenceData!$BD$127),"",ReferenceData!$BD$127),"")</f>
        <v>1336204</v>
      </c>
      <c r="BE127">
        <f ca="1">IFERROR(IF(0=LEN(ReferenceData!$BE$127),"",ReferenceData!$BE$127),"")</f>
        <v>1333799</v>
      </c>
      <c r="BF127">
        <f ca="1">IFERROR(IF(0=LEN(ReferenceData!$BF$127),"",ReferenceData!$BF$127),"")</f>
        <v>1313867</v>
      </c>
      <c r="BG127">
        <f ca="1">IFERROR(IF(0=LEN(ReferenceData!$BG$127),"",ReferenceData!$BG$127),"")</f>
        <v>1304945</v>
      </c>
      <c r="BH127">
        <f ca="1">IFERROR(IF(0=LEN(ReferenceData!$BH$127),"",ReferenceData!$BH$127),"")</f>
        <v>1259734</v>
      </c>
      <c r="BI127">
        <f ca="1">IFERROR(IF(0=LEN(ReferenceData!$BI$127),"",ReferenceData!$BI$127),"")</f>
        <v>1244666</v>
      </c>
      <c r="BJ127">
        <f ca="1">IFERROR(IF(0=LEN(ReferenceData!$BJ$127),"",ReferenceData!$BJ$127),"")</f>
        <v>1258128</v>
      </c>
      <c r="BK127">
        <f ca="1">IFERROR(IF(0=LEN(ReferenceData!$BK$127),"",ReferenceData!$BK$127),"")</f>
        <v>1220784</v>
      </c>
      <c r="BL127">
        <f ca="1">IFERROR(IF(0=LEN(ReferenceData!$BL$127),"",ReferenceData!$BL$127),"")</f>
        <v>1225862</v>
      </c>
      <c r="BM127" t="str">
        <f ca="1">IFERROR(IF(0=LEN(ReferenceData!$BM$127),"",ReferenceData!$BM$127),"")</f>
        <v/>
      </c>
    </row>
    <row r="128" spans="1:65" x14ac:dyDescent="0.25">
      <c r="A128" t="str">
        <f>IFERROR(IF(0=LEN(ReferenceData!$A$128),"",ReferenceData!$A$128),"")</f>
        <v xml:space="preserve">            Western Alliance Bancorp</v>
      </c>
      <c r="B128" t="str">
        <f>IFERROR(IF(0=LEN(ReferenceData!$B$128),"",ReferenceData!$B$128),"")</f>
        <v>WAL US Equity</v>
      </c>
      <c r="C128" t="str">
        <f>IFERROR(IF(0=LEN(ReferenceData!$C$128),"",ReferenceData!$C$128),"")</f>
        <v>FC001</v>
      </c>
      <c r="D128" t="str">
        <f>IFERROR(IF(0=LEN(ReferenceData!$D$128),"",ReferenceData!$D$128),"")</f>
        <v>FDIC_TOTAL_ASSETS</v>
      </c>
      <c r="E128" t="str">
        <f>IFERROR(IF(0=LEN(ReferenceData!$E$128),"",ReferenceData!$E$128),"")</f>
        <v>Dynamic</v>
      </c>
      <c r="F128">
        <f ca="1">IFERROR(IF(0=LEN(ReferenceData!$F$128),"",ReferenceData!$F$128),"")</f>
        <v>80934.240999999995</v>
      </c>
      <c r="G128">
        <f ca="1">IFERROR(IF(0=LEN(ReferenceData!$G$128),"",ReferenceData!$G$128),"")</f>
        <v>80079.521999999997</v>
      </c>
      <c r="H128">
        <f ca="1">IFERROR(IF(0=LEN(ReferenceData!$H$128),"",ReferenceData!$H$128),"")</f>
        <v>80581.017000000007</v>
      </c>
      <c r="I128">
        <f ca="1">IFERROR(IF(0=LEN(ReferenceData!$I$128),"",ReferenceData!$I$128),"")</f>
        <v>76989.391000000003</v>
      </c>
      <c r="J128">
        <f ca="1">IFERROR(IF(0=LEN(ReferenceData!$J$128),"",ReferenceData!$J$128),"")</f>
        <v>70862.471000000005</v>
      </c>
      <c r="K128">
        <f ca="1">IFERROR(IF(0=LEN(ReferenceData!$K$128),"",ReferenceData!$K$128),"")</f>
        <v>70890.925000000003</v>
      </c>
      <c r="L128">
        <f ca="1">IFERROR(IF(0=LEN(ReferenceData!$L$128),"",ReferenceData!$L$128),"")</f>
        <v>68159.683999999994</v>
      </c>
      <c r="M128">
        <f ca="1">IFERROR(IF(0=LEN(ReferenceData!$M$128),"",ReferenceData!$M$128),"")</f>
        <v>71047.202000000005</v>
      </c>
      <c r="N128">
        <f ca="1">IFERROR(IF(0=LEN(ReferenceData!$N$128),"",ReferenceData!$N$128),"")</f>
        <v>67733.919999999998</v>
      </c>
      <c r="O128">
        <f ca="1">IFERROR(IF(0=LEN(ReferenceData!$O$128),"",ReferenceData!$O$128),"")</f>
        <v>69164.937000000005</v>
      </c>
      <c r="P128">
        <f ca="1">IFERROR(IF(0=LEN(ReferenceData!$P$128),"",ReferenceData!$P$128),"")</f>
        <v>66055.335999999996</v>
      </c>
      <c r="Q128">
        <f ca="1">IFERROR(IF(0=LEN(ReferenceData!$Q$128),"",ReferenceData!$Q$128),"")</f>
        <v>60576.061000000002</v>
      </c>
      <c r="R128">
        <f ca="1">IFERROR(IF(0=LEN(ReferenceData!$R$128),"",ReferenceData!$R$128),"")</f>
        <v>55982.635000000002</v>
      </c>
      <c r="S128">
        <f ca="1">IFERROR(IF(0=LEN(ReferenceData!$S$128),"",ReferenceData!$S$128),"")</f>
        <v>52775.07</v>
      </c>
      <c r="T128">
        <f ca="1">IFERROR(IF(0=LEN(ReferenceData!$T$128),"",ReferenceData!$T$128),"")</f>
        <v>49068.997000000003</v>
      </c>
      <c r="U128">
        <f ca="1">IFERROR(IF(0=LEN(ReferenceData!$U$128),"",ReferenceData!$U$128),"")</f>
        <v>43397.016000000003</v>
      </c>
      <c r="V128">
        <f ca="1">IFERROR(IF(0=LEN(ReferenceData!$V$128),"",ReferenceData!$V$128),"")</f>
        <v>36461.042000000001</v>
      </c>
      <c r="W128">
        <f ca="1">IFERROR(IF(0=LEN(ReferenceData!$W$128),"",ReferenceData!$W$128),"")</f>
        <v>33335.506000000001</v>
      </c>
      <c r="X128">
        <f ca="1">IFERROR(IF(0=LEN(ReferenceData!$X$128),"",ReferenceData!$X$128),"")</f>
        <v>31906.396000000001</v>
      </c>
      <c r="Y128">
        <f ca="1">IFERROR(IF(0=LEN(ReferenceData!$Y$128),"",ReferenceData!$Y$128),"")</f>
        <v>29158.226999999999</v>
      </c>
      <c r="Z128">
        <f ca="1">IFERROR(IF(0=LEN(ReferenceData!$Z$128),"",ReferenceData!$Z$128),"")</f>
        <v>26821.948</v>
      </c>
      <c r="AA128">
        <f ca="1">IFERROR(IF(0=LEN(ReferenceData!$AA$128),"",ReferenceData!$AA$128),"")</f>
        <v>26324.244999999999</v>
      </c>
      <c r="AB128">
        <f ca="1">IFERROR(IF(0=LEN(ReferenceData!$AB$128),"",ReferenceData!$AB$128),"")</f>
        <v>25314.785</v>
      </c>
      <c r="AC128">
        <f ca="1">IFERROR(IF(0=LEN(ReferenceData!$AC$128),"",ReferenceData!$AC$128),"")</f>
        <v>23792.846000000001</v>
      </c>
      <c r="AD128">
        <f ca="1">IFERROR(IF(0=LEN(ReferenceData!$AD$128),"",ReferenceData!$AD$128),"")</f>
        <v>23109.486000000001</v>
      </c>
      <c r="AE128">
        <f ca="1">IFERROR(IF(0=LEN(ReferenceData!$AE$128),"",ReferenceData!$AE$128),"")</f>
        <v>22176.147000000001</v>
      </c>
      <c r="AF128">
        <f ca="1">IFERROR(IF(0=LEN(ReferenceData!$AF$128),"",ReferenceData!$AF$128),"")</f>
        <v>21367.452000000001</v>
      </c>
      <c r="AG128">
        <f ca="1">IFERROR(IF(0=LEN(ReferenceData!$AG$128),"",ReferenceData!$AG$128),"")</f>
        <v>20760.731</v>
      </c>
      <c r="AH128">
        <f ca="1">IFERROR(IF(0=LEN(ReferenceData!$AH$128),"",ReferenceData!$AH$128),"")</f>
        <v>20329.084999999999</v>
      </c>
      <c r="AI128">
        <f ca="1">IFERROR(IF(0=LEN(ReferenceData!$AI$128),"",ReferenceData!$AI$128),"")</f>
        <v>19922.221000000001</v>
      </c>
      <c r="AJ128">
        <f ca="1">IFERROR(IF(0=LEN(ReferenceData!$AJ$128),"",ReferenceData!$AJ$128),"")</f>
        <v>18844.744999999999</v>
      </c>
      <c r="AK128">
        <f ca="1">IFERROR(IF(0=LEN(ReferenceData!$AK$128),"",ReferenceData!$AK$128),"")</f>
        <v>18122.506000000001</v>
      </c>
      <c r="AL128">
        <f ca="1">IFERROR(IF(0=LEN(ReferenceData!$AL$128),"",ReferenceData!$AL$128),"")</f>
        <v>17200.842000000001</v>
      </c>
      <c r="AM128">
        <f ca="1">IFERROR(IF(0=LEN(ReferenceData!$AM$128),"",ReferenceData!$AM$128),"")</f>
        <v>17042.601999999999</v>
      </c>
      <c r="AN128">
        <f ca="1">IFERROR(IF(0=LEN(ReferenceData!$AN$128),"",ReferenceData!$AN$128),"")</f>
        <v>16728.767</v>
      </c>
      <c r="AO128">
        <f ca="1">IFERROR(IF(0=LEN(ReferenceData!$AO$128),"",ReferenceData!$AO$128),"")</f>
        <v>15248.039000000001</v>
      </c>
      <c r="AP128">
        <f ca="1">IFERROR(IF(0=LEN(ReferenceData!$AP$128),"",ReferenceData!$AP$128),"")</f>
        <v>14275.089</v>
      </c>
      <c r="AQ128">
        <f ca="1">IFERROR(IF(0=LEN(ReferenceData!$AQ$128),"",ReferenceData!$AQ$128),"")</f>
        <v>13955.57</v>
      </c>
      <c r="AR128">
        <f ca="1">IFERROR(IF(0=LEN(ReferenceData!$AR$128),"",ReferenceData!$AR$128),"")</f>
        <v>13470.103999999999</v>
      </c>
      <c r="AS128">
        <f ca="1">IFERROR(IF(0=LEN(ReferenceData!$AS$128),"",ReferenceData!$AS$128),"")</f>
        <v>11251.942999999999</v>
      </c>
      <c r="AT128">
        <f ca="1">IFERROR(IF(0=LEN(ReferenceData!$AT$128),"",ReferenceData!$AT$128),"")</f>
        <v>10600.498</v>
      </c>
      <c r="AU128">
        <f ca="1">IFERROR(IF(0=LEN(ReferenceData!$AU$128),"",ReferenceData!$AU$128),"")</f>
        <v>10288.824000000001</v>
      </c>
      <c r="AV128">
        <f ca="1">IFERROR(IF(0=LEN(ReferenceData!$AV$128),"",ReferenceData!$AV$128),"")</f>
        <v>10023.587</v>
      </c>
      <c r="AW128">
        <f ca="1">IFERROR(IF(0=LEN(ReferenceData!$AW$128),"",ReferenceData!$AW$128),"")</f>
        <v>9746.6239999999998</v>
      </c>
      <c r="AX128">
        <f ca="1">IFERROR(IF(0=LEN(ReferenceData!$AX$128),"",ReferenceData!$AX$128),"")</f>
        <v>9307.0949999999993</v>
      </c>
      <c r="AY128">
        <f ca="1">IFERROR(IF(0=LEN(ReferenceData!$AY$128),"",ReferenceData!$AY$128),"")</f>
        <v>8921.4290000000001</v>
      </c>
      <c r="AZ128">
        <f ca="1">IFERROR(IF(0=LEN(ReferenceData!$AZ$128),"",ReferenceData!$AZ$128),"")</f>
        <v>8593.6839999999993</v>
      </c>
      <c r="BA128">
        <f ca="1">IFERROR(IF(0=LEN(ReferenceData!$BA$128),"",ReferenceData!$BA$128),"")</f>
        <v>8174.1040000000003</v>
      </c>
      <c r="BB128">
        <f ca="1">IFERROR(IF(0=LEN(ReferenceData!$BB$128),"",ReferenceData!$BB$128),"")</f>
        <v>7622.6369999999997</v>
      </c>
      <c r="BC128">
        <f ca="1">IFERROR(IF(0=LEN(ReferenceData!$BC$128),"",ReferenceData!$BC$128),"")</f>
        <v>7403.6030000000001</v>
      </c>
      <c r="BD128">
        <f ca="1">IFERROR(IF(0=LEN(ReferenceData!$BD$128),"",ReferenceData!$BD$128),"")</f>
        <v>7163.5720000000001</v>
      </c>
      <c r="BE128">
        <f ca="1">IFERROR(IF(0=LEN(ReferenceData!$BE$128),"",ReferenceData!$BE$128),"")</f>
        <v>6925.2920000000004</v>
      </c>
      <c r="BF128">
        <f ca="1">IFERROR(IF(0=LEN(ReferenceData!$BF$128),"",ReferenceData!$BF$128),"")</f>
        <v>6844.5410000000002</v>
      </c>
      <c r="BG128">
        <f ca="1">IFERROR(IF(0=LEN(ReferenceData!$BG$128),"",ReferenceData!$BG$128),"")</f>
        <v>6545.89</v>
      </c>
      <c r="BH128">
        <f ca="1">IFERROR(IF(0=LEN(ReferenceData!$BH$128),"",ReferenceData!$BH$128),"")</f>
        <v>6508.0889999999999</v>
      </c>
      <c r="BI128">
        <f ca="1">IFERROR(IF(0=LEN(ReferenceData!$BI$128),"",ReferenceData!$BI$128),"")</f>
        <v>6404.8360000000002</v>
      </c>
      <c r="BJ128">
        <f ca="1">IFERROR(IF(0=LEN(ReferenceData!$BJ$128),"",ReferenceData!$BJ$128),"")</f>
        <v>6193.8829999999998</v>
      </c>
      <c r="BK128">
        <f ca="1">IFERROR(IF(0=LEN(ReferenceData!$BK$128),"",ReferenceData!$BK$128),"")</f>
        <v>6179.1459999999997</v>
      </c>
      <c r="BL128">
        <f ca="1">IFERROR(IF(0=LEN(ReferenceData!$BL$128),"",ReferenceData!$BL$128),"")</f>
        <v>5959.4790000000003</v>
      </c>
      <c r="BM128" t="str">
        <f ca="1">IFERROR(IF(0=LEN(ReferenceData!$BM$128),"",ReferenceData!$BM$128),"")</f>
        <v/>
      </c>
    </row>
    <row r="129" spans="1:65" x14ac:dyDescent="0.25">
      <c r="A129" t="str">
        <f>IFERROR(IF(0=LEN(ReferenceData!$A$129),"",ReferenceData!$A$129),"")</f>
        <v xml:space="preserve">            Zions Bancorp NA</v>
      </c>
      <c r="B129" t="str">
        <f>IFERROR(IF(0=LEN(ReferenceData!$B$129),"",ReferenceData!$B$129),"")</f>
        <v>ZION US Equity</v>
      </c>
      <c r="C129" t="str">
        <f>IFERROR(IF(0=LEN(ReferenceData!$C$129),"",ReferenceData!$C$129),"")</f>
        <v>FC001</v>
      </c>
      <c r="D129" t="str">
        <f>IFERROR(IF(0=LEN(ReferenceData!$D$129),"",ReferenceData!$D$129),"")</f>
        <v>FDIC_TOTAL_ASSETS</v>
      </c>
      <c r="E129" t="str">
        <f>IFERROR(IF(0=LEN(ReferenceData!$E$129),"",ReferenceData!$E$129),"")</f>
        <v>Dynamic</v>
      </c>
      <c r="F129" t="str">
        <f ca="1">IFERROR(IF(0=LEN(ReferenceData!$F$129),"",ReferenceData!$F$129),"")</f>
        <v/>
      </c>
      <c r="G129" t="str">
        <f ca="1">IFERROR(IF(0=LEN(ReferenceData!$G$129),"",ReferenceData!$G$129),"")</f>
        <v/>
      </c>
      <c r="H129">
        <f ca="1">IFERROR(IF(0=LEN(ReferenceData!$H$129),"",ReferenceData!$H$129),"")</f>
        <v>87605.789000000004</v>
      </c>
      <c r="I129">
        <f ca="1">IFERROR(IF(0=LEN(ReferenceData!$I$129),"",ReferenceData!$I$129),"")</f>
        <v>87060.372000000003</v>
      </c>
      <c r="J129">
        <f ca="1">IFERROR(IF(0=LEN(ReferenceData!$J$129),"",ReferenceData!$J$129),"")</f>
        <v>87202.697</v>
      </c>
      <c r="K129">
        <f ca="1">IFERROR(IF(0=LEN(ReferenceData!$K$129),"",ReferenceData!$K$129),"")</f>
        <v>87269.125</v>
      </c>
      <c r="L129">
        <f ca="1">IFERROR(IF(0=LEN(ReferenceData!$L$129),"",ReferenceData!$L$129),"")</f>
        <v>87230.273000000001</v>
      </c>
      <c r="M129">
        <f ca="1">IFERROR(IF(0=LEN(ReferenceData!$M$129),"",ReferenceData!$M$129),"")</f>
        <v>88573.532999999996</v>
      </c>
      <c r="N129">
        <f ca="1">IFERROR(IF(0=LEN(ReferenceData!$N$129),"",ReferenceData!$N$129),"")</f>
        <v>89544.918999999994</v>
      </c>
      <c r="O129">
        <f ca="1">IFERROR(IF(0=LEN(ReferenceData!$O$129),"",ReferenceData!$O$129),"")</f>
        <v>88474.569000000003</v>
      </c>
      <c r="P129">
        <f ca="1">IFERROR(IF(0=LEN(ReferenceData!$P$129),"",ReferenceData!$P$129),"")</f>
        <v>87783.903000000006</v>
      </c>
      <c r="Q129">
        <f ca="1">IFERROR(IF(0=LEN(ReferenceData!$Q$129),"",ReferenceData!$Q$129),"")</f>
        <v>91125.751000000004</v>
      </c>
      <c r="R129">
        <f ca="1">IFERROR(IF(0=LEN(ReferenceData!$R$129),"",ReferenceData!$R$129),"")</f>
        <v>93199.668999999994</v>
      </c>
      <c r="S129">
        <f ca="1">IFERROR(IF(0=LEN(ReferenceData!$S$129),"",ReferenceData!$S$129),"")</f>
        <v>88306.255999999994</v>
      </c>
      <c r="T129">
        <f ca="1">IFERROR(IF(0=LEN(ReferenceData!$T$129),"",ReferenceData!$T$129),"")</f>
        <v>87208.406000000003</v>
      </c>
      <c r="U129">
        <f ca="1">IFERROR(IF(0=LEN(ReferenceData!$U$129),"",ReferenceData!$U$129),"")</f>
        <v>85120.865999999995</v>
      </c>
      <c r="V129" t="str">
        <f ca="1">IFERROR(IF(0=LEN(ReferenceData!$V$129),"",ReferenceData!$V$129),"")</f>
        <v/>
      </c>
      <c r="W129" t="str">
        <f ca="1">IFERROR(IF(0=LEN(ReferenceData!$W$129),"",ReferenceData!$W$129),"")</f>
        <v/>
      </c>
      <c r="X129" t="str">
        <f ca="1">IFERROR(IF(0=LEN(ReferenceData!$X$129),"",ReferenceData!$X$129),"")</f>
        <v/>
      </c>
      <c r="Y129" t="str">
        <f ca="1">IFERROR(IF(0=LEN(ReferenceData!$Y$129),"",ReferenceData!$Y$129),"")</f>
        <v/>
      </c>
      <c r="Z129" t="str">
        <f ca="1">IFERROR(IF(0=LEN(ReferenceData!$Z$129),"",ReferenceData!$Z$129),"")</f>
        <v/>
      </c>
      <c r="AA129" t="str">
        <f ca="1">IFERROR(IF(0=LEN(ReferenceData!$AA$129),"",ReferenceData!$AA$129),"")</f>
        <v/>
      </c>
      <c r="AB129" t="str">
        <f ca="1">IFERROR(IF(0=LEN(ReferenceData!$AB$129),"",ReferenceData!$AB$129),"")</f>
        <v/>
      </c>
      <c r="AC129" t="str">
        <f ca="1">IFERROR(IF(0=LEN(ReferenceData!$AC$129),"",ReferenceData!$AC$129),"")</f>
        <v/>
      </c>
      <c r="AD129" t="str">
        <f ca="1">IFERROR(IF(0=LEN(ReferenceData!$AD$129),"",ReferenceData!$AD$129),"")</f>
        <v/>
      </c>
      <c r="AE129" t="str">
        <f ca="1">IFERROR(IF(0=LEN(ReferenceData!$AE$129),"",ReferenceData!$AE$129),"")</f>
        <v/>
      </c>
      <c r="AF129" t="str">
        <f ca="1">IFERROR(IF(0=LEN(ReferenceData!$AF$129),"",ReferenceData!$AF$129),"")</f>
        <v/>
      </c>
      <c r="AG129" t="str">
        <f ca="1">IFERROR(IF(0=LEN(ReferenceData!$AG$129),"",ReferenceData!$AG$129),"")</f>
        <v/>
      </c>
      <c r="AH129" t="str">
        <f ca="1">IFERROR(IF(0=LEN(ReferenceData!$AH$129),"",ReferenceData!$AH$129),"")</f>
        <v/>
      </c>
      <c r="AI129" t="str">
        <f ca="1">IFERROR(IF(0=LEN(ReferenceData!$AI$129),"",ReferenceData!$AI$129),"")</f>
        <v/>
      </c>
      <c r="AJ129" t="str">
        <f ca="1">IFERROR(IF(0=LEN(ReferenceData!$AJ$129),"",ReferenceData!$AJ$129),"")</f>
        <v/>
      </c>
      <c r="AK129" t="str">
        <f ca="1">IFERROR(IF(0=LEN(ReferenceData!$AK$129),"",ReferenceData!$AK$129),"")</f>
        <v/>
      </c>
      <c r="AL129" t="str">
        <f ca="1">IFERROR(IF(0=LEN(ReferenceData!$AL$129),"",ReferenceData!$AL$129),"")</f>
        <v/>
      </c>
      <c r="AM129" t="str">
        <f ca="1">IFERROR(IF(0=LEN(ReferenceData!$AM$129),"",ReferenceData!$AM$129),"")</f>
        <v/>
      </c>
      <c r="AN129" t="str">
        <f ca="1">IFERROR(IF(0=LEN(ReferenceData!$AN$129),"",ReferenceData!$AN$129),"")</f>
        <v/>
      </c>
      <c r="AO129" t="str">
        <f ca="1">IFERROR(IF(0=LEN(ReferenceData!$AO$129),"",ReferenceData!$AO$129),"")</f>
        <v/>
      </c>
      <c r="AP129" t="str">
        <f ca="1">IFERROR(IF(0=LEN(ReferenceData!$AP$129),"",ReferenceData!$AP$129),"")</f>
        <v/>
      </c>
      <c r="AQ129" t="str">
        <f ca="1">IFERROR(IF(0=LEN(ReferenceData!$AQ$129),"",ReferenceData!$AQ$129),"")</f>
        <v/>
      </c>
      <c r="AR129" t="str">
        <f ca="1">IFERROR(IF(0=LEN(ReferenceData!$AR$129),"",ReferenceData!$AR$129),"")</f>
        <v/>
      </c>
      <c r="AS129" t="str">
        <f ca="1">IFERROR(IF(0=LEN(ReferenceData!$AS$129),"",ReferenceData!$AS$129),"")</f>
        <v/>
      </c>
      <c r="AT129" t="str">
        <f ca="1">IFERROR(IF(0=LEN(ReferenceData!$AT$129),"",ReferenceData!$AT$129),"")</f>
        <v/>
      </c>
      <c r="AU129" t="str">
        <f ca="1">IFERROR(IF(0=LEN(ReferenceData!$AU$129),"",ReferenceData!$AU$129),"")</f>
        <v/>
      </c>
      <c r="AV129" t="str">
        <f ca="1">IFERROR(IF(0=LEN(ReferenceData!$AV$129),"",ReferenceData!$AV$129),"")</f>
        <v/>
      </c>
      <c r="AW129" t="str">
        <f ca="1">IFERROR(IF(0=LEN(ReferenceData!$AW$129),"",ReferenceData!$AW$129),"")</f>
        <v/>
      </c>
      <c r="AX129" t="str">
        <f ca="1">IFERROR(IF(0=LEN(ReferenceData!$AX$129),"",ReferenceData!$AX$129),"")</f>
        <v/>
      </c>
      <c r="AY129" t="str">
        <f ca="1">IFERROR(IF(0=LEN(ReferenceData!$AY$129),"",ReferenceData!$AY$129),"")</f>
        <v/>
      </c>
      <c r="AZ129" t="str">
        <f ca="1">IFERROR(IF(0=LEN(ReferenceData!$AZ$129),"",ReferenceData!$AZ$129),"")</f>
        <v/>
      </c>
      <c r="BA129" t="str">
        <f ca="1">IFERROR(IF(0=LEN(ReferenceData!$BA$129),"",ReferenceData!$BA$129),"")</f>
        <v/>
      </c>
      <c r="BB129" t="str">
        <f ca="1">IFERROR(IF(0=LEN(ReferenceData!$BB$129),"",ReferenceData!$BB$129),"")</f>
        <v/>
      </c>
      <c r="BC129" t="str">
        <f ca="1">IFERROR(IF(0=LEN(ReferenceData!$BC$129),"",ReferenceData!$BC$129),"")</f>
        <v/>
      </c>
      <c r="BD129" t="str">
        <f ca="1">IFERROR(IF(0=LEN(ReferenceData!$BD$129),"",ReferenceData!$BD$129),"")</f>
        <v/>
      </c>
      <c r="BE129" t="str">
        <f ca="1">IFERROR(IF(0=LEN(ReferenceData!$BE$129),"",ReferenceData!$BE$129),"")</f>
        <v/>
      </c>
      <c r="BF129" t="str">
        <f ca="1">IFERROR(IF(0=LEN(ReferenceData!$BF$129),"",ReferenceData!$BF$129),"")</f>
        <v/>
      </c>
      <c r="BG129" t="str">
        <f ca="1">IFERROR(IF(0=LEN(ReferenceData!$BG$129),"",ReferenceData!$BG$129),"")</f>
        <v/>
      </c>
      <c r="BH129" t="str">
        <f ca="1">IFERROR(IF(0=LEN(ReferenceData!$BH$129),"",ReferenceData!$BH$129),"")</f>
        <v/>
      </c>
      <c r="BI129" t="str">
        <f ca="1">IFERROR(IF(0=LEN(ReferenceData!$BI$129),"",ReferenceData!$BI$129),"")</f>
        <v/>
      </c>
      <c r="BJ129" t="str">
        <f ca="1">IFERROR(IF(0=LEN(ReferenceData!$BJ$129),"",ReferenceData!$BJ$129),"")</f>
        <v/>
      </c>
      <c r="BK129" t="str">
        <f ca="1">IFERROR(IF(0=LEN(ReferenceData!$BK$129),"",ReferenceData!$BK$129),"")</f>
        <v/>
      </c>
      <c r="BL129" t="str">
        <f ca="1">IFERROR(IF(0=LEN(ReferenceData!$BL$129),"",ReferenceData!$BL$129),"")</f>
        <v/>
      </c>
      <c r="BM129" t="str">
        <f ca="1">IFERROR(IF(0=LEN(ReferenceData!$BM$129),"",ReferenceData!$BM$129),"")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U295"/>
  <sheetViews>
    <sheetView workbookViewId="0"/>
  </sheetViews>
  <sheetFormatPr defaultRowHeight="15" x14ac:dyDescent="0.25"/>
  <cols>
    <col min="1" max="1" width="56.28515625" customWidth="1"/>
    <col min="2" max="2" width="15.85546875" customWidth="1"/>
    <col min="3" max="125" width="9.140625" bestFit="1" customWidth="1"/>
  </cols>
  <sheetData>
    <row r="1" spans="1:12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</row>
    <row r="2" spans="1:125" x14ac:dyDescent="0.25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>ReferenceData!$C$286</f>
        <v>2024 Q4</v>
      </c>
      <c r="G2" s="1" t="str">
        <f>ReferenceData!$D$286</f>
        <v>2024 Q3</v>
      </c>
      <c r="H2" s="1" t="str">
        <f>ReferenceData!$E$286</f>
        <v>2024 Q2</v>
      </c>
      <c r="I2" s="1" t="str">
        <f>ReferenceData!$F$286</f>
        <v>2024 Q1</v>
      </c>
      <c r="J2" s="1" t="str">
        <f>ReferenceData!$G$286</f>
        <v>2023 Q4</v>
      </c>
      <c r="K2" s="1" t="str">
        <f>ReferenceData!$H$286</f>
        <v>2023 Q3</v>
      </c>
      <c r="L2" s="1" t="str">
        <f>ReferenceData!$I$286</f>
        <v>2023 Q2</v>
      </c>
      <c r="M2" s="1" t="str">
        <f>ReferenceData!$J$286</f>
        <v>2023 Q1</v>
      </c>
      <c r="N2" s="1" t="str">
        <f>ReferenceData!$K$286</f>
        <v>2022 Q4</v>
      </c>
      <c r="O2" s="1" t="str">
        <f>ReferenceData!$L$286</f>
        <v>2022 Q3</v>
      </c>
      <c r="P2" s="1" t="str">
        <f>ReferenceData!$M$286</f>
        <v>2022 Q2</v>
      </c>
      <c r="Q2" s="1" t="str">
        <f>ReferenceData!$N$286</f>
        <v>2022 Q1</v>
      </c>
      <c r="R2" s="1" t="str">
        <f>ReferenceData!$O$286</f>
        <v>2021 Q4</v>
      </c>
      <c r="S2" s="1" t="str">
        <f>ReferenceData!$P$286</f>
        <v>2021 Q3</v>
      </c>
      <c r="T2" s="1" t="str">
        <f>ReferenceData!$Q$286</f>
        <v>2021 Q2</v>
      </c>
      <c r="U2" s="1" t="str">
        <f>ReferenceData!$R$286</f>
        <v>2021 Q1</v>
      </c>
      <c r="V2" s="1" t="str">
        <f>ReferenceData!$S$286</f>
        <v>2020 Q4</v>
      </c>
      <c r="W2" s="1" t="str">
        <f>ReferenceData!$T$286</f>
        <v>2020 Q3</v>
      </c>
      <c r="X2" s="1" t="str">
        <f>ReferenceData!$U$286</f>
        <v>2020 Q2</v>
      </c>
      <c r="Y2" s="1" t="str">
        <f>ReferenceData!$V$286</f>
        <v>2020 Q1</v>
      </c>
      <c r="Z2" s="1" t="str">
        <f>ReferenceData!$W$286</f>
        <v>2019 Q4</v>
      </c>
      <c r="AA2" s="1" t="str">
        <f>ReferenceData!$X$286</f>
        <v>2019 Q3</v>
      </c>
      <c r="AB2" s="1" t="str">
        <f>ReferenceData!$Y$286</f>
        <v>2019 Q2</v>
      </c>
      <c r="AC2" s="1" t="str">
        <f>ReferenceData!$Z$286</f>
        <v>2019 Q1</v>
      </c>
      <c r="AD2" s="1" t="str">
        <f>ReferenceData!$AA$286</f>
        <v>2018 Q4</v>
      </c>
      <c r="AE2" s="1" t="str">
        <f>ReferenceData!$AB$286</f>
        <v>2018 Q3</v>
      </c>
      <c r="AF2" s="1" t="str">
        <f>ReferenceData!$AC$286</f>
        <v>2018 Q2</v>
      </c>
      <c r="AG2" s="1" t="str">
        <f>ReferenceData!$AD$286</f>
        <v>2018 Q1</v>
      </c>
      <c r="AH2" s="1" t="str">
        <f>ReferenceData!$AE$286</f>
        <v>2017 Q4</v>
      </c>
      <c r="AI2" s="1" t="str">
        <f>ReferenceData!$AF$286</f>
        <v>2017 Q3</v>
      </c>
      <c r="AJ2" s="1" t="str">
        <f>ReferenceData!$AG$286</f>
        <v>2017 Q2</v>
      </c>
      <c r="AK2" s="1" t="str">
        <f>ReferenceData!$AH$286</f>
        <v>2017 Q1</v>
      </c>
      <c r="AL2" s="1" t="str">
        <f>ReferenceData!$AI$286</f>
        <v>2016 Q4</v>
      </c>
      <c r="AM2" s="1" t="str">
        <f>ReferenceData!$AJ$286</f>
        <v>2016 Q3</v>
      </c>
      <c r="AN2" s="1" t="str">
        <f>ReferenceData!$AK$286</f>
        <v>2016 Q2</v>
      </c>
      <c r="AO2" s="1" t="str">
        <f>ReferenceData!$AL$286</f>
        <v>2016 Q1</v>
      </c>
      <c r="AP2" s="1" t="str">
        <f>ReferenceData!$AM$286</f>
        <v>2015 Q4</v>
      </c>
      <c r="AQ2" s="1" t="str">
        <f>ReferenceData!$AN$286</f>
        <v>2015 Q3</v>
      </c>
      <c r="AR2" s="1" t="str">
        <f>ReferenceData!$AO$286</f>
        <v>2015 Q2</v>
      </c>
      <c r="AS2" s="1" t="str">
        <f>ReferenceData!$AP$286</f>
        <v>2015 Q1</v>
      </c>
      <c r="AT2" s="1" t="str">
        <f>ReferenceData!$AQ$286</f>
        <v>2014 Q4</v>
      </c>
      <c r="AU2" s="1" t="str">
        <f>ReferenceData!$AR$286</f>
        <v>2014 Q3</v>
      </c>
      <c r="AV2" s="1" t="str">
        <f>ReferenceData!$AS$286</f>
        <v>2014 Q2</v>
      </c>
      <c r="AW2" s="1" t="str">
        <f>ReferenceData!$AT$286</f>
        <v>2014 Q1</v>
      </c>
      <c r="AX2" s="1" t="str">
        <f>ReferenceData!$AU$286</f>
        <v>2013 Q4</v>
      </c>
      <c r="AY2" s="1" t="str">
        <f>ReferenceData!$AV$286</f>
        <v>2013 Q3</v>
      </c>
      <c r="AZ2" s="1" t="str">
        <f>ReferenceData!$AW$286</f>
        <v>2013 Q2</v>
      </c>
      <c r="BA2" s="1" t="str">
        <f>ReferenceData!$AX$286</f>
        <v>2013 Q1</v>
      </c>
      <c r="BB2" s="1" t="str">
        <f>ReferenceData!$AY$286</f>
        <v>2012 Q4</v>
      </c>
      <c r="BC2" s="1" t="str">
        <f>ReferenceData!$AZ$286</f>
        <v>2012 Q3</v>
      </c>
      <c r="BD2" s="1" t="str">
        <f>ReferenceData!$BA$286</f>
        <v>2012 Q2</v>
      </c>
      <c r="BE2" s="1" t="str">
        <f>ReferenceData!$BB$286</f>
        <v>2012 Q1</v>
      </c>
      <c r="BF2" s="1" t="str">
        <f>ReferenceData!$BC$286</f>
        <v>2011 Q4</v>
      </c>
      <c r="BG2" s="1" t="str">
        <f>ReferenceData!$BD$286</f>
        <v>2011 Q3</v>
      </c>
      <c r="BH2" s="1" t="str">
        <f>ReferenceData!$BE$286</f>
        <v>2011 Q2</v>
      </c>
      <c r="BI2" s="1" t="str">
        <f>ReferenceData!$BF$286</f>
        <v>2011 Q1</v>
      </c>
      <c r="BJ2" s="1" t="str">
        <f>ReferenceData!$BG$286</f>
        <v>2010 Q4</v>
      </c>
      <c r="BK2" s="1" t="str">
        <f>ReferenceData!$BH$286</f>
        <v>2010 Q3</v>
      </c>
      <c r="BL2" s="1" t="str">
        <f>ReferenceData!$BI$286</f>
        <v>2010 Q2</v>
      </c>
      <c r="BM2" s="1" t="str">
        <f>ReferenceData!$BJ$286</f>
        <v>2010 Q1</v>
      </c>
      <c r="BN2" t="str">
        <f>$C$286</f>
        <v>2024 Q4</v>
      </c>
      <c r="BO2" t="str">
        <f>$D$286</f>
        <v>2024 Q3</v>
      </c>
      <c r="BP2" t="str">
        <f>$E$286</f>
        <v>2024 Q2</v>
      </c>
      <c r="BQ2" t="str">
        <f>$F$286</f>
        <v>2024 Q1</v>
      </c>
      <c r="BR2" t="str">
        <f>$G$286</f>
        <v>2023 Q4</v>
      </c>
      <c r="BS2" t="str">
        <f>$H$286</f>
        <v>2023 Q3</v>
      </c>
      <c r="BT2" t="str">
        <f>$I$286</f>
        <v>2023 Q2</v>
      </c>
      <c r="BU2" t="str">
        <f>$J$286</f>
        <v>2023 Q1</v>
      </c>
      <c r="BV2" t="str">
        <f>$K$286</f>
        <v>2022 Q4</v>
      </c>
      <c r="BW2" t="str">
        <f>$L$286</f>
        <v>2022 Q3</v>
      </c>
      <c r="BX2" t="str">
        <f>$M$286</f>
        <v>2022 Q2</v>
      </c>
      <c r="BY2" t="str">
        <f>$N$286</f>
        <v>2022 Q1</v>
      </c>
      <c r="BZ2" t="str">
        <f>$O$286</f>
        <v>2021 Q4</v>
      </c>
      <c r="CA2" t="str">
        <f>$P$286</f>
        <v>2021 Q3</v>
      </c>
      <c r="CB2" t="str">
        <f>$Q$286</f>
        <v>2021 Q2</v>
      </c>
      <c r="CC2" t="str">
        <f>$R$286</f>
        <v>2021 Q1</v>
      </c>
      <c r="CD2" t="str">
        <f>$S$286</f>
        <v>2020 Q4</v>
      </c>
      <c r="CE2" t="str">
        <f>$T$286</f>
        <v>2020 Q3</v>
      </c>
      <c r="CF2" t="str">
        <f>$U$286</f>
        <v>2020 Q2</v>
      </c>
      <c r="CG2" t="str">
        <f>$V$286</f>
        <v>2020 Q1</v>
      </c>
      <c r="CH2" t="str">
        <f>$W$286</f>
        <v>2019 Q4</v>
      </c>
      <c r="CI2" t="str">
        <f>$X$286</f>
        <v>2019 Q3</v>
      </c>
      <c r="CJ2" t="str">
        <f>$Y$286</f>
        <v>2019 Q2</v>
      </c>
      <c r="CK2" t="str">
        <f>$Z$286</f>
        <v>2019 Q1</v>
      </c>
      <c r="CL2" t="str">
        <f>$AA$286</f>
        <v>2018 Q4</v>
      </c>
      <c r="CM2" t="str">
        <f>$AB$286</f>
        <v>2018 Q3</v>
      </c>
      <c r="CN2" t="str">
        <f>$AC$286</f>
        <v>2018 Q2</v>
      </c>
      <c r="CO2" t="str">
        <f>$AD$286</f>
        <v>2018 Q1</v>
      </c>
      <c r="CP2" t="str">
        <f>$AE$286</f>
        <v>2017 Q4</v>
      </c>
      <c r="CQ2" t="str">
        <f>$AF$286</f>
        <v>2017 Q3</v>
      </c>
      <c r="CR2" t="str">
        <f>$AG$286</f>
        <v>2017 Q2</v>
      </c>
      <c r="CS2" t="str">
        <f>$AH$286</f>
        <v>2017 Q1</v>
      </c>
      <c r="CT2" t="str">
        <f>$AI$286</f>
        <v>2016 Q4</v>
      </c>
      <c r="CU2" t="str">
        <f>$AJ$286</f>
        <v>2016 Q3</v>
      </c>
      <c r="CV2" t="str">
        <f>$AK$286</f>
        <v>2016 Q2</v>
      </c>
      <c r="CW2" t="str">
        <f>$AL$286</f>
        <v>2016 Q1</v>
      </c>
      <c r="CX2" t="str">
        <f>$AM$286</f>
        <v>2015 Q4</v>
      </c>
      <c r="CY2" t="str">
        <f>$AN$286</f>
        <v>2015 Q3</v>
      </c>
      <c r="CZ2" t="str">
        <f>$AO$286</f>
        <v>2015 Q2</v>
      </c>
      <c r="DA2" t="str">
        <f>$AP$286</f>
        <v>2015 Q1</v>
      </c>
      <c r="DB2" t="str">
        <f>$AQ$286</f>
        <v>2014 Q4</v>
      </c>
      <c r="DC2" t="str">
        <f>$AR$286</f>
        <v>2014 Q3</v>
      </c>
      <c r="DD2" t="str">
        <f>$AS$286</f>
        <v>2014 Q2</v>
      </c>
      <c r="DE2" t="str">
        <f>$AT$286</f>
        <v>2014 Q1</v>
      </c>
      <c r="DF2" t="str">
        <f>$AU$286</f>
        <v>2013 Q4</v>
      </c>
      <c r="DG2" t="str">
        <f>$AV$286</f>
        <v>2013 Q3</v>
      </c>
      <c r="DH2" t="str">
        <f>$AW$286</f>
        <v>2013 Q2</v>
      </c>
      <c r="DI2" t="str">
        <f>$AX$286</f>
        <v>2013 Q1</v>
      </c>
      <c r="DJ2" t="str">
        <f>$AY$286</f>
        <v>2012 Q4</v>
      </c>
      <c r="DK2" t="str">
        <f>$AZ$286</f>
        <v>2012 Q3</v>
      </c>
      <c r="DL2" t="str">
        <f>$BA$286</f>
        <v>2012 Q2</v>
      </c>
      <c r="DM2" t="str">
        <f>$BB$286</f>
        <v>2012 Q1</v>
      </c>
      <c r="DN2" t="str">
        <f>$BC$286</f>
        <v>2011 Q4</v>
      </c>
      <c r="DO2" t="str">
        <f>$BD$286</f>
        <v>2011 Q3</v>
      </c>
      <c r="DP2" t="str">
        <f>$BE$286</f>
        <v>2011 Q2</v>
      </c>
      <c r="DQ2" t="str">
        <f>$BF$286</f>
        <v>2011 Q1</v>
      </c>
      <c r="DR2" t="str">
        <f>$BG$286</f>
        <v>2010 Q4</v>
      </c>
      <c r="DS2" t="str">
        <f>$BH$286</f>
        <v>2010 Q3</v>
      </c>
      <c r="DT2" t="str">
        <f>$BI$286</f>
        <v>2010 Q2</v>
      </c>
      <c r="DU2" t="str">
        <f>$BJ$286</f>
        <v>2010 Q1</v>
      </c>
    </row>
    <row r="3" spans="1:125" x14ac:dyDescent="0.25">
      <c r="A3" t="str">
        <f>"Balance Sheet - Assets - Securities"</f>
        <v>Balance Sheet - Assets - Securities</v>
      </c>
      <c r="B3" t="str">
        <f>""</f>
        <v/>
      </c>
      <c r="E3" t="str">
        <f>"Expression"</f>
        <v>Expression</v>
      </c>
      <c r="F3">
        <f ca="1">IF(AND($B$145=1,LEN($F$46)&gt;0),$F$46,HLOOKUP(INDIRECT(ADDRESS(2,COLUMN())),OFFSET($BN$2,0,0,ROW()-1,60),ROW()-1,FALSE))</f>
        <v>3112187.0589999999</v>
      </c>
      <c r="G3">
        <f ca="1">IF(AND($B$145=1,LEN($G$46)&gt;0),$G$46,HLOOKUP(INDIRECT(ADDRESS(2,COLUMN())),OFFSET($BN$2,0,0,ROW()-1,60),ROW()-1,FALSE))</f>
        <v>3246324.3679999998</v>
      </c>
      <c r="H3">
        <f ca="1">IF(AND($B$145=1,LEN($H$46)&gt;0),$H$46,HLOOKUP(INDIRECT(ADDRESS(2,COLUMN())),OFFSET($BN$2,0,0,ROW()-1,60),ROW()-1,FALSE))</f>
        <v>3190179.1540000001</v>
      </c>
      <c r="I3">
        <f ca="1">IF(AND($B$145=1,LEN($I$46)&gt;0),$I$46,HLOOKUP(INDIRECT(ADDRESS(2,COLUMN())),OFFSET($BN$2,0,0,ROW()-1,60),ROW()-1,FALSE))</f>
        <v>3194739.4640000002</v>
      </c>
      <c r="J3">
        <f ca="1">IF(AND($B$145=1,LEN($J$46)&gt;0),$J$46,HLOOKUP(INDIRECT(ADDRESS(2,COLUMN())),OFFSET($BN$2,0,0,ROW()-1,60),ROW()-1,FALSE))</f>
        <v>3146521.3119999999</v>
      </c>
      <c r="K3">
        <f ca="1">IF(AND($B$145=1,LEN($K$46)&gt;0),$K$46,HLOOKUP(INDIRECT(ADDRESS(2,COLUMN())),OFFSET($BN$2,0,0,ROW()-1,60),ROW()-1,FALSE))</f>
        <v>3032681.3289999999</v>
      </c>
      <c r="L3">
        <f ca="1">IF(AND($B$145=1,LEN($L$46)&gt;0),$L$46,HLOOKUP(INDIRECT(ADDRESS(2,COLUMN())),OFFSET($BN$2,0,0,ROW()-1,60),ROW()-1,FALSE))</f>
        <v>3066093.9849999999</v>
      </c>
      <c r="M3">
        <f ca="1">IF(AND($B$145=1,LEN($M$46)&gt;0),$M$46,HLOOKUP(INDIRECT(ADDRESS(2,COLUMN())),OFFSET($BN$2,0,0,ROW()-1,60),ROW()-1,FALSE))</f>
        <v>3137649.923</v>
      </c>
      <c r="N3">
        <f ca="1">IF(AND($B$145=1,LEN($N$46)&gt;0),$N$46,HLOOKUP(INDIRECT(ADDRESS(2,COLUMN())),OFFSET($BN$2,0,0,ROW()-1,60),ROW()-1,FALSE))</f>
        <v>3231496.8130000001</v>
      </c>
      <c r="O3">
        <f ca="1">IF(AND($B$145=1,LEN($O$46)&gt;0),$O$46,HLOOKUP(INDIRECT(ADDRESS(2,COLUMN())),OFFSET($BN$2,0,0,ROW()-1,60),ROW()-1,FALSE))</f>
        <v>3209716.5260000001</v>
      </c>
      <c r="P3">
        <f ca="1">IF(AND($B$145=1,LEN($P$46)&gt;0),$P$46,HLOOKUP(INDIRECT(ADDRESS(2,COLUMN())),OFFSET($BN$2,0,0,ROW()-1,60),ROW()-1,FALSE))</f>
        <v>3352786.3459999999</v>
      </c>
      <c r="Q3">
        <f ca="1">IF(AND($B$145=1,LEN($Q$46)&gt;0),$Q$46,HLOOKUP(INDIRECT(ADDRESS(2,COLUMN())),OFFSET($BN$2,0,0,ROW()-1,60),ROW()-1,FALSE))</f>
        <v>3424033.2820000001</v>
      </c>
      <c r="R3">
        <f ca="1">IF(AND($B$145=1,LEN($R$46)&gt;0),$R$46,HLOOKUP(INDIRECT(ADDRESS(2,COLUMN())),OFFSET($BN$2,0,0,ROW()-1,60),ROW()-1,FALSE))</f>
        <v>3427075.2749999999</v>
      </c>
      <c r="S3">
        <f ca="1">IF(AND($B$145=1,LEN($S$46)&gt;0),$S$46,HLOOKUP(INDIRECT(ADDRESS(2,COLUMN())),OFFSET($BN$2,0,0,ROW()-1,60),ROW()-1,FALSE))</f>
        <v>3273918.4810000001</v>
      </c>
      <c r="T3">
        <f ca="1">IF(AND($B$145=1,LEN($T$46)&gt;0),$T$46,HLOOKUP(INDIRECT(ADDRESS(2,COLUMN())),OFFSET($BN$2,0,0,ROW()-1,60),ROW()-1,FALSE))</f>
        <v>3200229.148</v>
      </c>
      <c r="U3">
        <f ca="1">IF(AND($B$145=1,LEN($U$46)&gt;0),$U$46,HLOOKUP(INDIRECT(ADDRESS(2,COLUMN())),OFFSET($BN$2,0,0,ROW()-1,60),ROW()-1,FALSE))</f>
        <v>3046941.7170000002</v>
      </c>
      <c r="V3">
        <f ca="1">IF(AND($B$145=1,LEN($V$46)&gt;0),$V$46,HLOOKUP(INDIRECT(ADDRESS(2,COLUMN())),OFFSET($BN$2,0,0,ROW()-1,60),ROW()-1,FALSE))</f>
        <v>2771134.92</v>
      </c>
      <c r="W3">
        <f ca="1">IF(AND($B$145=1,LEN($W$46)&gt;0),$W$46,HLOOKUP(INDIRECT(ADDRESS(2,COLUMN())),OFFSET($BN$2,0,0,ROW()-1,60),ROW()-1,FALSE))</f>
        <v>2549648.7310000001</v>
      </c>
      <c r="X3">
        <f ca="1">IF(AND($B$145=1,LEN($X$46)&gt;0),$X$46,HLOOKUP(INDIRECT(ADDRESS(2,COLUMN())),OFFSET($BN$2,0,0,ROW()-1,60),ROW()-1,FALSE))</f>
        <v>2416273.9109999998</v>
      </c>
      <c r="Y3">
        <f ca="1">IF(AND($B$145=1,LEN($Y$46)&gt;0),$Y$46,HLOOKUP(INDIRECT(ADDRESS(2,COLUMN())),OFFSET($BN$2,0,0,ROW()-1,60),ROW()-1,FALSE))</f>
        <v>2300869.108</v>
      </c>
      <c r="Z3">
        <f ca="1">IF(AND($B$145=1,LEN($Z$46)&gt;0),$Z$46,HLOOKUP(INDIRECT(ADDRESS(2,COLUMN())),OFFSET($BN$2,0,0,ROW()-1,60),ROW()-1,FALSE))</f>
        <v>2176702.1329999999</v>
      </c>
      <c r="AA3">
        <f ca="1">IF(AND($B$145=1,LEN($AA$46)&gt;0),$AA$46,HLOOKUP(INDIRECT(ADDRESS(2,COLUMN())),OFFSET($BN$2,0,0,ROW()-1,60),ROW()-1,FALSE))</f>
        <v>2128858.5720000002</v>
      </c>
      <c r="AB3">
        <f ca="1">IF(AND($B$145=1,LEN($AB$46)&gt;0),$AB$46,HLOOKUP(INDIRECT(ADDRESS(2,COLUMN())),OFFSET($BN$2,0,0,ROW()-1,60),ROW()-1,FALSE))</f>
        <v>2004431.027</v>
      </c>
      <c r="AC3">
        <f ca="1">IF(AND($B$145=1,LEN($AC$46)&gt;0),$AC$46,HLOOKUP(INDIRECT(ADDRESS(2,COLUMN())),OFFSET($BN$2,0,0,ROW()-1,60),ROW()-1,FALSE))</f>
        <v>1958442.8840000001</v>
      </c>
      <c r="AD3">
        <f ca="1">IF(AND($B$145=1,LEN($AD$46)&gt;0),$AD$46,HLOOKUP(INDIRECT(ADDRESS(2,COLUMN())),OFFSET($BN$2,0,0,ROW()-1,60),ROW()-1,FALSE))</f>
        <v>1956848.5009999999</v>
      </c>
      <c r="AE3">
        <f ca="1">IF(AND($B$145=1,LEN($AE$46)&gt;0),$AE$46,HLOOKUP(INDIRECT(ADDRESS(2,COLUMN())),OFFSET($BN$2,0,0,ROW()-1,60),ROW()-1,FALSE))</f>
        <v>1899709.0660000001</v>
      </c>
      <c r="AF3">
        <f ca="1">IF(AND($B$145=1,LEN($AF$46)&gt;0),$AF$46,HLOOKUP(INDIRECT(ADDRESS(2,COLUMN())),OFFSET($BN$2,0,0,ROW()-1,60),ROW()-1,FALSE))</f>
        <v>1903562.7720000001</v>
      </c>
      <c r="AG3">
        <f ca="1">IF(AND($B$145=1,LEN($AG$46)&gt;0),$AG$46,HLOOKUP(INDIRECT(ADDRESS(2,COLUMN())),OFFSET($BN$2,0,0,ROW()-1,60),ROW()-1,FALSE))</f>
        <v>1888906.08</v>
      </c>
      <c r="AH3">
        <f ca="1">IF(AND($B$145=1,LEN($AH$46)&gt;0),$AH$46,HLOOKUP(INDIRECT(ADDRESS(2,COLUMN())),OFFSET($BN$2,0,0,ROW()-1,60),ROW()-1,FALSE))</f>
        <v>1923350.078</v>
      </c>
      <c r="AI3">
        <f ca="1">IF(AND($B$145=1,LEN($AI$46)&gt;0),$AI$46,HLOOKUP(INDIRECT(ADDRESS(2,COLUMN())),OFFSET($BN$2,0,0,ROW()-1,60),ROW()-1,FALSE))</f>
        <v>1928129.7180000001</v>
      </c>
      <c r="AJ3">
        <f ca="1">IF(AND($B$145=1,LEN($AJ$46)&gt;0),$AJ$46,HLOOKUP(INDIRECT(ADDRESS(2,COLUMN())),OFFSET($BN$2,0,0,ROW()-1,60),ROW()-1,FALSE))</f>
        <v>1915609.159</v>
      </c>
      <c r="AK3">
        <f ca="1">IF(AND($B$145=1,LEN($AK$46)&gt;0),$AK$46,HLOOKUP(INDIRECT(ADDRESS(2,COLUMN())),OFFSET($BN$2,0,0,ROW()-1,60),ROW()-1,FALSE))</f>
        <v>1918924.078</v>
      </c>
      <c r="AL3">
        <f ca="1">IF(AND($B$145=1,LEN($AL$46)&gt;0),$AL$46,HLOOKUP(INDIRECT(ADDRESS(2,COLUMN())),OFFSET($BN$2,0,0,ROW()-1,60),ROW()-1,FALSE))</f>
        <v>1930040.895</v>
      </c>
      <c r="AM3">
        <f ca="1">IF(AND($B$145=1,LEN($AM$46)&gt;0),$AM$46,HLOOKUP(INDIRECT(ADDRESS(2,COLUMN())),OFFSET($BN$2,0,0,ROW()-1,60),ROW()-1,FALSE))</f>
        <v>1902925.2609999999</v>
      </c>
      <c r="AN3">
        <f ca="1">IF(AND($B$145=1,LEN($AN$46)&gt;0),$AN$46,HLOOKUP(INDIRECT(ADDRESS(2,COLUMN())),OFFSET($BN$2,0,0,ROW()-1,60),ROW()-1,FALSE))</f>
        <v>1828865.0719999999</v>
      </c>
      <c r="AO3">
        <f ca="1">IF(AND($B$145=1,LEN($AO$46)&gt;0),$AO$46,HLOOKUP(INDIRECT(ADDRESS(2,COLUMN())),OFFSET($BN$2,0,0,ROW()-1,60),ROW()-1,FALSE))</f>
        <v>1800237.057</v>
      </c>
      <c r="AP3">
        <f ca="1">IF(AND($B$145=1,LEN($AP$46)&gt;0),$AP$46,HLOOKUP(INDIRECT(ADDRESS(2,COLUMN())),OFFSET($BN$2,0,0,ROW()-1,60),ROW()-1,FALSE))</f>
        <v>1805765.949</v>
      </c>
      <c r="AQ3">
        <f ca="1">IF(AND($B$145=1,LEN($AQ$46)&gt;0),$AQ$46,HLOOKUP(INDIRECT(ADDRESS(2,COLUMN())),OFFSET($BN$2,0,0,ROW()-1,60),ROW()-1,FALSE))</f>
        <v>1785497.078</v>
      </c>
      <c r="AR3">
        <f ca="1">IF(AND($B$145=1,LEN($AR$46)&gt;0),$AR$46,HLOOKUP(INDIRECT(ADDRESS(2,COLUMN())),OFFSET($BN$2,0,0,ROW()-1,60),ROW()-1,FALSE))</f>
        <v>1762420.3189999999</v>
      </c>
      <c r="AS3">
        <f ca="1">IF(AND($B$145=1,LEN($AS$46)&gt;0),$AS$46,HLOOKUP(INDIRECT(ADDRESS(2,COLUMN())),OFFSET($BN$2,0,0,ROW()-1,60),ROW()-1,FALSE))</f>
        <v>1741122.5349999999</v>
      </c>
      <c r="AT3">
        <f ca="1">IF(AND($B$145=1,LEN($AT$46)&gt;0),$AT$46,HLOOKUP(INDIRECT(ADDRESS(2,COLUMN())),OFFSET($BN$2,0,0,ROW()-1,60),ROW()-1,FALSE))</f>
        <v>1732236.787</v>
      </c>
      <c r="AU3">
        <f ca="1">IF(AND($B$145=1,LEN($AU$46)&gt;0),$AU$46,HLOOKUP(INDIRECT(ADDRESS(2,COLUMN())),OFFSET($BN$2,0,0,ROW()-1,60),ROW()-1,FALSE))</f>
        <v>1701352.7420000001</v>
      </c>
      <c r="AV3">
        <f ca="1">IF(AND($B$145=1,LEN($AV$46)&gt;0),$AV$46,HLOOKUP(INDIRECT(ADDRESS(2,COLUMN())),OFFSET($BN$2,0,0,ROW()-1,60),ROW()-1,FALSE))</f>
        <v>1655986.2890000001</v>
      </c>
      <c r="AW3">
        <f ca="1">IF(AND($B$145=1,LEN($AW$46)&gt;0),$AW$46,HLOOKUP(INDIRECT(ADDRESS(2,COLUMN())),OFFSET($BN$2,0,0,ROW()-1,60),ROW()-1,FALSE))</f>
        <v>1610004.345</v>
      </c>
      <c r="AX3">
        <f ca="1">IF(AND($B$145=1,LEN($AX$46)&gt;0),$AX$46,HLOOKUP(INDIRECT(ADDRESS(2,COLUMN())),OFFSET($BN$2,0,0,ROW()-1,60),ROW()-1,FALSE))</f>
        <v>1574893.649</v>
      </c>
      <c r="AY3">
        <f ca="1">IF(AND($B$145=1,LEN($AY$46)&gt;0),$AY$46,HLOOKUP(INDIRECT(ADDRESS(2,COLUMN())),OFFSET($BN$2,0,0,ROW()-1,60),ROW()-1,FALSE))</f>
        <v>1550187.6910000001</v>
      </c>
      <c r="AZ3">
        <f ca="1">IF(AND($B$145=1,LEN($AZ$46)&gt;0),$AZ$46,HLOOKUP(INDIRECT(ADDRESS(2,COLUMN())),OFFSET($BN$2,0,0,ROW()-1,60),ROW()-1,FALSE))</f>
        <v>1533091.1340000001</v>
      </c>
      <c r="BA3">
        <f ca="1">IF(AND($B$145=1,LEN($BA$46)&gt;0),$BA$46,HLOOKUP(INDIRECT(ADDRESS(2,COLUMN())),OFFSET($BN$2,0,0,ROW()-1,60),ROW()-1,FALSE))</f>
        <v>1569949.2239999999</v>
      </c>
      <c r="BB3">
        <f ca="1">IF(AND($B$145=1,LEN($BB$46)&gt;0),$BB$46,HLOOKUP(INDIRECT(ADDRESS(2,COLUMN())),OFFSET($BN$2,0,0,ROW()-1,60),ROW()-1,FALSE))</f>
        <v>1597003.0919999999</v>
      </c>
      <c r="BC3">
        <f ca="1">IF(AND($B$145=1,LEN($BC$46)&gt;0),$BC$46,HLOOKUP(INDIRECT(ADDRESS(2,COLUMN())),OFFSET($BN$2,0,0,ROW()-1,60),ROW()-1,FALSE))</f>
        <v>1578840.051</v>
      </c>
      <c r="BD3">
        <f ca="1">IF(AND($B$145=1,LEN($BD$46)&gt;0),$BD$46,HLOOKUP(INDIRECT(ADDRESS(2,COLUMN())),OFFSET($BN$2,0,0,ROW()-1,60),ROW()-1,FALSE))</f>
        <v>1556905.8959999999</v>
      </c>
      <c r="BE3">
        <f ca="1">IF(AND($B$145=1,LEN($BE$46)&gt;0),$BE$46,HLOOKUP(INDIRECT(ADDRESS(2,COLUMN())),OFFSET($BN$2,0,0,ROW()-1,60),ROW()-1,FALSE))</f>
        <v>1584585.8540000001</v>
      </c>
      <c r="BF3">
        <f ca="1">IF(AND($B$145=1,LEN($BF$46)&gt;0),$BF$46,HLOOKUP(INDIRECT(ADDRESS(2,COLUMN())),OFFSET($BN$2,0,0,ROW()-1,60),ROW()-1,FALSE))</f>
        <v>1508725.83</v>
      </c>
      <c r="BG3">
        <f ca="1">IF(AND($B$145=1,LEN($BG$46)&gt;0),$BG$46,HLOOKUP(INDIRECT(ADDRESS(2,COLUMN())),OFFSET($BN$2,0,0,ROW()-1,60),ROW()-1,FALSE))</f>
        <v>1493107.2279999999</v>
      </c>
      <c r="BH3">
        <f ca="1">IF(AND($B$145=1,LEN($BH$46)&gt;0),$BH$46,HLOOKUP(INDIRECT(ADDRESS(2,COLUMN())),OFFSET($BN$2,0,0,ROW()-1,60),ROW()-1,FALSE))</f>
        <v>1457464.84</v>
      </c>
      <c r="BI3">
        <f ca="1">IF(AND($B$145=1,LEN($BI$46)&gt;0),$BI$46,HLOOKUP(INDIRECT(ADDRESS(2,COLUMN())),OFFSET($BN$2,0,0,ROW()-1,60),ROW()-1,FALSE))</f>
        <v>1467799.351</v>
      </c>
      <c r="BJ3">
        <f ca="1">IF(AND($B$145=1,LEN($BJ$46)&gt;0),$BJ$46,HLOOKUP(INDIRECT(ADDRESS(2,COLUMN())),OFFSET($BN$2,0,0,ROW()-1,60),ROW()-1,FALSE))</f>
        <v>1448762.8119999999</v>
      </c>
      <c r="BK3">
        <f ca="1">IF(AND($B$145=1,LEN($BK$46)&gt;0),$BK$46,HLOOKUP(INDIRECT(ADDRESS(2,COLUMN())),OFFSET($BN$2,0,0,ROW()-1,60),ROW()-1,FALSE))</f>
        <v>1477415.8970000001</v>
      </c>
      <c r="BL3">
        <f ca="1">IF(AND($B$145=1,LEN($BL$46)&gt;0),$BL$46,HLOOKUP(INDIRECT(ADDRESS(2,COLUMN())),OFFSET($BN$2,0,0,ROW()-1,60),ROW()-1,FALSE))</f>
        <v>1373419.804</v>
      </c>
      <c r="BM3">
        <f ca="1">IF(AND($B$145=1,LEN($BM$46)&gt;0),$BM$46,HLOOKUP(INDIRECT(ADDRESS(2,COLUMN())),OFFSET($BN$2,0,0,ROW()-1,60),ROW()-1,FALSE))</f>
        <v>88236.451000000001</v>
      </c>
      <c r="BN3">
        <f>3112187.059</f>
        <v>3112187.0589999999</v>
      </c>
      <c r="BO3">
        <f>3246324.368</f>
        <v>3246324.3679999998</v>
      </c>
      <c r="BP3">
        <f>3190179.154</f>
        <v>3190179.1540000001</v>
      </c>
      <c r="BQ3">
        <f>3194739.464</f>
        <v>3194739.4640000002</v>
      </c>
      <c r="BR3">
        <f>3146521.312</f>
        <v>3146521.3119999999</v>
      </c>
      <c r="BS3">
        <f>3032681.329</f>
        <v>3032681.3289999999</v>
      </c>
      <c r="BT3">
        <f>3066093.985</f>
        <v>3066093.9849999999</v>
      </c>
      <c r="BU3">
        <f>3137649.923</f>
        <v>3137649.923</v>
      </c>
      <c r="BV3">
        <f>3231496.813</f>
        <v>3231496.8130000001</v>
      </c>
      <c r="BW3">
        <f>3209716.526</f>
        <v>3209716.5260000001</v>
      </c>
      <c r="BX3">
        <f>3352786.346</f>
        <v>3352786.3459999999</v>
      </c>
      <c r="BY3">
        <f>3424033.282</f>
        <v>3424033.2820000001</v>
      </c>
      <c r="BZ3">
        <f>3427075.275</f>
        <v>3427075.2749999999</v>
      </c>
      <c r="CA3">
        <f>3273918.481</f>
        <v>3273918.4810000001</v>
      </c>
      <c r="CB3">
        <f>3200229.148</f>
        <v>3200229.148</v>
      </c>
      <c r="CC3">
        <f>3046941.717</f>
        <v>3046941.7170000002</v>
      </c>
      <c r="CD3">
        <f>2771134.92</f>
        <v>2771134.92</v>
      </c>
      <c r="CE3">
        <f>2549648.731</f>
        <v>2549648.7310000001</v>
      </c>
      <c r="CF3">
        <f>2416273.911</f>
        <v>2416273.9109999998</v>
      </c>
      <c r="CG3">
        <f>2300869.108</f>
        <v>2300869.108</v>
      </c>
      <c r="CH3">
        <f>2176702.133</f>
        <v>2176702.1329999999</v>
      </c>
      <c r="CI3">
        <f>2128858.572</f>
        <v>2128858.5720000002</v>
      </c>
      <c r="CJ3">
        <f>2004431.027</f>
        <v>2004431.027</v>
      </c>
      <c r="CK3">
        <f>1958442.884</f>
        <v>1958442.8840000001</v>
      </c>
      <c r="CL3">
        <f>1956848.501</f>
        <v>1956848.5009999999</v>
      </c>
      <c r="CM3">
        <f>1899709.066</f>
        <v>1899709.0660000001</v>
      </c>
      <c r="CN3">
        <f>1903562.772</f>
        <v>1903562.7720000001</v>
      </c>
      <c r="CO3">
        <f>1888906.08</f>
        <v>1888906.08</v>
      </c>
      <c r="CP3">
        <f>1923350.078</f>
        <v>1923350.078</v>
      </c>
      <c r="CQ3">
        <f>1928129.718</f>
        <v>1928129.7180000001</v>
      </c>
      <c r="CR3">
        <f>1915609.159</f>
        <v>1915609.159</v>
      </c>
      <c r="CS3">
        <f>1918924.078</f>
        <v>1918924.078</v>
      </c>
      <c r="CT3">
        <f>1930040.895</f>
        <v>1930040.895</v>
      </c>
      <c r="CU3">
        <f>1902925.261</f>
        <v>1902925.2609999999</v>
      </c>
      <c r="CV3">
        <f>1828865.072</f>
        <v>1828865.0719999999</v>
      </c>
      <c r="CW3">
        <f>1800237.057</f>
        <v>1800237.057</v>
      </c>
      <c r="CX3">
        <f>1805765.949</f>
        <v>1805765.949</v>
      </c>
      <c r="CY3">
        <f>1785497.078</f>
        <v>1785497.078</v>
      </c>
      <c r="CZ3">
        <f>1762420.319</f>
        <v>1762420.3189999999</v>
      </c>
      <c r="DA3">
        <f>1741122.535</f>
        <v>1741122.5349999999</v>
      </c>
      <c r="DB3">
        <f>1732236.787</f>
        <v>1732236.787</v>
      </c>
      <c r="DC3">
        <f>1701352.742</f>
        <v>1701352.7420000001</v>
      </c>
      <c r="DD3">
        <f>1655986.289</f>
        <v>1655986.2890000001</v>
      </c>
      <c r="DE3">
        <f>1610004.345</f>
        <v>1610004.345</v>
      </c>
      <c r="DF3">
        <f>1574893.649</f>
        <v>1574893.649</v>
      </c>
      <c r="DG3">
        <f>1550187.691</f>
        <v>1550187.6910000001</v>
      </c>
      <c r="DH3">
        <f>1533091.134</f>
        <v>1533091.1340000001</v>
      </c>
      <c r="DI3">
        <f>1569949.224</f>
        <v>1569949.2239999999</v>
      </c>
      <c r="DJ3">
        <f>1597003.092</f>
        <v>1597003.0919999999</v>
      </c>
      <c r="DK3">
        <f>1578840.051</f>
        <v>1578840.051</v>
      </c>
      <c r="DL3">
        <f>1556905.896</f>
        <v>1556905.8959999999</v>
      </c>
      <c r="DM3">
        <f>1584585.854</f>
        <v>1584585.8540000001</v>
      </c>
      <c r="DN3">
        <f>1508725.83</f>
        <v>1508725.83</v>
      </c>
      <c r="DO3">
        <f>1493107.228</f>
        <v>1493107.2279999999</v>
      </c>
      <c r="DP3">
        <f>1457464.84</f>
        <v>1457464.84</v>
      </c>
      <c r="DQ3">
        <f>1467799.351</f>
        <v>1467799.351</v>
      </c>
      <c r="DR3">
        <f>1448762.812</f>
        <v>1448762.8119999999</v>
      </c>
      <c r="DS3">
        <f>1477415.897</f>
        <v>1477415.8970000001</v>
      </c>
      <c r="DT3">
        <f>1373419.804</f>
        <v>1373419.804</v>
      </c>
      <c r="DU3">
        <f>88236.451</f>
        <v>88236.451000000001</v>
      </c>
    </row>
    <row r="4" spans="1:125" x14ac:dyDescent="0.25">
      <c r="A4" t="str">
        <f>"            Held-to-maturity Securities"</f>
        <v xml:space="preserve">            Held-to-maturity Securities</v>
      </c>
      <c r="B4" t="str">
        <f>""</f>
        <v/>
      </c>
      <c r="E4" t="str">
        <f>"Sum"</f>
        <v>Sum</v>
      </c>
      <c r="F4">
        <f ca="1">IF(ISERROR(IF(SUM($F$5:$F$24) = 0, "", SUM($F$5:$F$24))), "", (IF(SUM($F$5:$F$24) = 0, "", SUM($F$5:$F$24))))</f>
        <v>1512637.4789999998</v>
      </c>
      <c r="G4">
        <f ca="1">IF(ISERROR(IF(SUM($G$5:$G$24) = 0, "", SUM($G$5:$G$24))), "", (IF(SUM($G$5:$G$24) = 0, "", SUM($G$5:$G$24))))</f>
        <v>1566444.534</v>
      </c>
      <c r="H4">
        <f ca="1">IF(ISERROR(IF(SUM($H$5:$H$24) = 0, "", SUM($H$5:$H$24))), "", (IF(SUM($H$5:$H$24) = 0, "", SUM($H$5:$H$24))))</f>
        <v>1708612.8109999998</v>
      </c>
      <c r="I4">
        <f ca="1">IF(ISERROR(IF(SUM($I$5:$I$24) = 0, "", SUM($I$5:$I$24))), "", (IF(SUM($I$5:$I$24) = 0, "", SUM($I$5:$I$24))))</f>
        <v>1742169.1930000002</v>
      </c>
      <c r="J4">
        <f ca="1">IF(ISERROR(IF(SUM($J$5:$J$24) = 0, "", SUM($J$5:$J$24))), "", (IF(SUM($J$5:$J$24) = 0, "", SUM($J$5:$J$24))))</f>
        <v>1784956.9129999999</v>
      </c>
      <c r="K4">
        <f ca="1">IF(ISERROR(IF(SUM($K$5:$K$24) = 0, "", SUM($K$5:$K$24))), "", (IF(SUM($K$5:$K$24) = 0, "", SUM($K$5:$K$24))))</f>
        <v>1826313.274</v>
      </c>
      <c r="L4">
        <f ca="1">IF(ISERROR(IF(SUM($L$5:$L$24) = 0, "", SUM($L$5:$L$24))), "", (IF(SUM($L$5:$L$24) = 0, "", SUM($L$5:$L$24))))</f>
        <v>1871819.78</v>
      </c>
      <c r="M4">
        <f ca="1">IF(ISERROR(IF(SUM($M$5:$M$24) = 0, "", SUM($M$5:$M$24))), "", (IF(SUM($M$5:$M$24) = 0, "", SUM($M$5:$M$24))))</f>
        <v>1898372.8989999997</v>
      </c>
      <c r="N4">
        <f ca="1">IF(ISERROR(IF(SUM($N$5:$N$24) = 0, "", SUM($N$5:$N$24))), "", (IF(SUM($N$5:$N$24) = 0, "", SUM($N$5:$N$24))))</f>
        <v>1941623.101</v>
      </c>
      <c r="O4">
        <f ca="1">IF(ISERROR(IF(SUM($O$5:$O$24) = 0, "", SUM($O$5:$O$24))), "", (IF(SUM($O$5:$O$24) = 0, "", SUM($O$5:$O$24))))</f>
        <v>1940889.5730000001</v>
      </c>
      <c r="P4">
        <f ca="1">IF(ISERROR(IF(SUM($P$5:$P$24) = 0, "", SUM($P$5:$P$24))), "", (IF(SUM($P$5:$P$24) = 0, "", SUM($P$5:$P$24))))</f>
        <v>1934892.351</v>
      </c>
      <c r="Q4">
        <f ca="1">IF(ISERROR(IF(SUM($Q$5:$Q$24) = 0, "", SUM($Q$5:$Q$24))), "", (IF(SUM($Q$5:$Q$24) = 0, "", SUM($Q$5:$Q$24))))</f>
        <v>1732614.0959999999</v>
      </c>
      <c r="R4">
        <f ca="1">IF(ISERROR(IF(SUM($R$5:$R$24) = 0, "", SUM($R$5:$R$24))), "", (IF(SUM($R$5:$R$24) = 0, "", SUM($R$5:$R$24))))</f>
        <v>1603510.5220000003</v>
      </c>
      <c r="S4">
        <f ca="1">IF(ISERROR(IF(SUM($S$5:$S$24) = 0, "", SUM($S$5:$S$24))), "", (IF(SUM($S$5:$S$24) = 0, "", SUM($S$5:$S$24))))</f>
        <v>1520629.804</v>
      </c>
      <c r="T4">
        <f ca="1">IF(ISERROR(IF(SUM($T$5:$T$24) = 0, "", SUM($T$5:$T$24))), "", (IF(SUM($T$5:$T$24) = 0, "", SUM($T$5:$T$24))))</f>
        <v>1460327.713</v>
      </c>
      <c r="U4">
        <f ca="1">IF(ISERROR(IF(SUM($U$5:$U$24) = 0, "", SUM($U$5:$U$24))), "", (IF(SUM($U$5:$U$24) = 0, "", SUM($U$5:$U$24))))</f>
        <v>1213736.3319999999</v>
      </c>
      <c r="V4">
        <f ca="1">IF(ISERROR(IF(SUM($V$5:$V$24) = 0, "", SUM($V$5:$V$24))), "", (IF(SUM($V$5:$V$24) = 0, "", SUM($V$5:$V$24))))</f>
        <v>978367.20899999992</v>
      </c>
      <c r="W4">
        <f ca="1">IF(ISERROR(IF(SUM($W$5:$W$24) = 0, "", SUM($W$5:$W$24))), "", (IF(SUM($W$5:$W$24) = 0, "", SUM($W$5:$W$24))))</f>
        <v>784228.21099999989</v>
      </c>
      <c r="X4">
        <f ca="1">IF(ISERROR(IF(SUM($X$5:$X$24) = 0, "", SUM($X$5:$X$24))), "", (IF(SUM($X$5:$X$24) = 0, "", SUM($X$5:$X$24))))</f>
        <v>621828.35600000003</v>
      </c>
      <c r="Y4">
        <f ca="1">IF(ISERROR(IF(SUM($Y$5:$Y$24) = 0, "", SUM($Y$5:$Y$24))), "", (IF(SUM($Y$5:$Y$24) = 0, "", SUM($Y$5:$Y$24))))</f>
        <v>607482.26500000001</v>
      </c>
      <c r="Z4">
        <f ca="1">IF(ISERROR(IF(SUM($Z$5:$Z$24) = 0, "", SUM($Z$5:$Z$24))), "", (IF(SUM($Z$5:$Z$24) = 0, "", SUM($Z$5:$Z$24))))</f>
        <v>542466.73399999994</v>
      </c>
      <c r="AA4">
        <f ca="1">IF(ISERROR(IF(SUM($AA$5:$AA$24) = 0, "", SUM($AA$5:$AA$24))), "", (IF(SUM($AA$5:$AA$24) = 0, "", SUM($AA$5:$AA$24))))</f>
        <v>607288.47</v>
      </c>
      <c r="AB4">
        <f ca="1">IF(ISERROR(IF(SUM($AB$5:$AB$24) = 0, "", SUM($AB$5:$AB$24))), "", (IF(SUM($AB$5:$AB$24) = 0, "", SUM($AB$5:$AB$24))))</f>
        <v>596433.04700000002</v>
      </c>
      <c r="AC4">
        <f ca="1">IF(ISERROR(IF(SUM($AC$5:$AC$24) = 0, "", SUM($AC$5:$AC$24))), "", (IF(SUM($AC$5:$AC$24) = 0, "", SUM($AC$5:$AC$24))))</f>
        <v>594133.77500000002</v>
      </c>
      <c r="AD4">
        <f ca="1">IF(ISERROR(IF(SUM($AD$5:$AD$24) = 0, "", SUM($AD$5:$AD$24))), "", (IF(SUM($AD$5:$AD$24) = 0, "", SUM($AD$5:$AD$24))))</f>
        <v>597466.88199999998</v>
      </c>
      <c r="AE4">
        <f ca="1">IF(ISERROR(IF(SUM($AE$5:$AE$24) = 0, "", SUM($AE$5:$AE$24))), "", (IF(SUM($AE$5:$AE$24) = 0, "", SUM($AE$5:$AE$24))))</f>
        <v>576692.0830000001</v>
      </c>
      <c r="AF4">
        <f ca="1">IF(ISERROR(IF(SUM($AF$5:$AF$24) = 0, "", SUM($AF$5:$AF$24))), "", (IF(SUM($AF$5:$AF$24) = 0, "", SUM($AF$5:$AF$24))))</f>
        <v>544882.69099999999</v>
      </c>
      <c r="AG4">
        <f ca="1">IF(ISERROR(IF(SUM($AG$5:$AG$24) = 0, "", SUM($AG$5:$AG$24))), "", (IF(SUM($AG$5:$AG$24) = 0, "", SUM($AG$5:$AG$24))))</f>
        <v>485797.84599999996</v>
      </c>
      <c r="AH4">
        <f ca="1">IF(ISERROR(IF(SUM($AH$5:$AH$24) = 0, "", SUM($AH$5:$AH$24))), "", (IF(SUM($AH$5:$AH$24) = 0, "", SUM($AH$5:$AH$24))))</f>
        <v>512449.36699999997</v>
      </c>
      <c r="AI4">
        <f ca="1">IF(ISERROR(IF(SUM($AI$5:$AI$24) = 0, "", SUM($AI$5:$AI$24))), "", (IF(SUM($AI$5:$AI$24) = 0, "", SUM($AI$5:$AI$24))))</f>
        <v>507485.19299999997</v>
      </c>
      <c r="AJ4">
        <f ca="1">IF(ISERROR(IF(SUM($AJ$5:$AJ$24) = 0, "", SUM($AJ$5:$AJ$24))), "", (IF(SUM($AJ$5:$AJ$24) = 0, "", SUM($AJ$5:$AJ$24))))</f>
        <v>495388.23599999998</v>
      </c>
      <c r="AK4">
        <f ca="1">IF(ISERROR(IF(SUM($AK$5:$AK$24) = 0, "", SUM($AK$5:$AK$24))), "", (IF(SUM($AK$5:$AK$24) = 0, "", SUM($AK$5:$AK$24))))</f>
        <v>458558.99300000002</v>
      </c>
      <c r="AL4">
        <f ca="1">IF(ISERROR(IF(SUM($AL$5:$AL$24) = 0, "", SUM($AL$5:$AL$24))), "", (IF(SUM($AL$5:$AL$24) = 0, "", SUM($AL$5:$AL$24))))</f>
        <v>446201.04599999997</v>
      </c>
      <c r="AM4">
        <f ca="1">IF(ISERROR(IF(SUM($AM$5:$AM$24) = 0, "", SUM($AM$5:$AM$24))), "", (IF(SUM($AM$5:$AM$24) = 0, "", SUM($AM$5:$AM$24))))</f>
        <v>433499.45399999997</v>
      </c>
      <c r="AN4">
        <f ca="1">IF(ISERROR(IF(SUM($AN$5:$AN$24) = 0, "", SUM($AN$5:$AN$24))), "", (IF(SUM($AN$5:$AN$24) = 0, "", SUM($AN$5:$AN$24))))</f>
        <v>418812.48300000001</v>
      </c>
      <c r="AO4">
        <f ca="1">IF(ISERROR(IF(SUM($AO$5:$AO$24) = 0, "", SUM($AO$5:$AO$24))), "", (IF(SUM($AO$5:$AO$24) = 0, "", SUM($AO$5:$AO$24))))</f>
        <v>390776.69800000003</v>
      </c>
      <c r="AP4">
        <f ca="1">IF(ISERROR(IF(SUM($AP$5:$AP$24) = 0, "", SUM($AP$5:$AP$24))), "", (IF(SUM($AP$5:$AP$24) = 0, "", SUM($AP$5:$AP$24))))</f>
        <v>380756.63300000003</v>
      </c>
      <c r="AQ4">
        <f ca="1">IF(ISERROR(IF(SUM($AQ$5:$AQ$24) = 0, "", SUM($AQ$5:$AQ$24))), "", (IF(SUM($AQ$5:$AQ$24) = 0, "", SUM($AQ$5:$AQ$24))))</f>
        <v>358393.44600000005</v>
      </c>
      <c r="AR4">
        <f ca="1">IF(ISERROR(IF(SUM($AR$5:$AR$24) = 0, "", SUM($AR$5:$AR$24))), "", (IF(SUM($AR$5:$AR$24) = 0, "", SUM($AR$5:$AR$24))))</f>
        <v>352846.37399999995</v>
      </c>
      <c r="AS4">
        <f ca="1">IF(ISERROR(IF(SUM($AS$5:$AS$24) = 0, "", SUM($AS$5:$AS$24))), "", (IF(SUM($AS$5:$AS$24) = 0, "", SUM($AS$5:$AS$24))))</f>
        <v>329748.462</v>
      </c>
      <c r="AT4">
        <f ca="1">IF(ISERROR(IF(SUM($AT$5:$AT$24) = 0, "", SUM($AT$5:$AT$24))), "", (IF(SUM($AT$5:$AT$24) = 0, "", SUM($AT$5:$AT$24))))</f>
        <v>315994.77399999998</v>
      </c>
      <c r="AU4">
        <f ca="1">IF(ISERROR(IF(SUM($AU$5:$AU$24) = 0, "", SUM($AU$5:$AU$24))), "", (IF(SUM($AU$5:$AU$24) = 0, "", SUM($AU$5:$AU$24))))</f>
        <v>299446.34500000003</v>
      </c>
      <c r="AV4">
        <f ca="1">IF(ISERROR(IF(SUM($AV$5:$AV$24) = 0, "", SUM($AV$5:$AV$24))), "", (IF(SUM($AV$5:$AV$24) = 0, "", SUM($AV$5:$AV$24))))</f>
        <v>283520.96700000006</v>
      </c>
      <c r="AW4">
        <f ca="1">IF(ISERROR(IF(SUM($AW$5:$AW$24) = 0, "", SUM($AW$5:$AW$24))), "", (IF(SUM($AW$5:$AW$24) = 0, "", SUM($AW$5:$AW$24))))</f>
        <v>251873.79300000001</v>
      </c>
      <c r="AX4">
        <f ca="1">IF(ISERROR(IF(SUM($AX$5:$AX$24) = 0, "", SUM($AX$5:$AX$24))), "", (IF(SUM($AX$5:$AX$24) = 0, "", SUM($AX$5:$AX$24))))</f>
        <v>217347.49300000002</v>
      </c>
      <c r="AY4">
        <f ca="1">IF(ISERROR(IF(SUM($AY$5:$AY$24) = 0, "", SUM($AY$5:$AY$24))), "", (IF(SUM($AY$5:$AY$24) = 0, "", SUM($AY$5:$AY$24))))</f>
        <v>170289.94099999999</v>
      </c>
      <c r="AZ4">
        <f ca="1">IF(ISERROR(IF(SUM($AZ$5:$AZ$24) = 0, "", SUM($AZ$5:$AZ$24))), "", (IF(SUM($AZ$5:$AZ$24) = 0, "", SUM($AZ$5:$AZ$24))))</f>
        <v>139856.361</v>
      </c>
      <c r="BA4">
        <f ca="1">IF(ISERROR(IF(SUM($BA$5:$BA$24) = 0, "", SUM($BA$5:$BA$24))), "", (IF(SUM($BA$5:$BA$24) = 0, "", SUM($BA$5:$BA$24))))</f>
        <v>129396.39299999998</v>
      </c>
      <c r="BB4">
        <f ca="1">IF(ISERROR(IF(SUM($BB$5:$BB$24) = 0, "", SUM($BB$5:$BB$24))), "", (IF(SUM($BB$5:$BB$24) = 0, "", SUM($BB$5:$BB$24))))</f>
        <v>129739.98199999999</v>
      </c>
      <c r="BC4">
        <f ca="1">IF(ISERROR(IF(SUM($BC$5:$BC$24) = 0, "", SUM($BC$5:$BC$24))), "", (IF(SUM($BC$5:$BC$24) = 0, "", SUM($BC$5:$BC$24))))</f>
        <v>121398.515</v>
      </c>
      <c r="BD4">
        <f ca="1">IF(ISERROR(IF(SUM($BD$5:$BD$24) = 0, "", SUM($BD$5:$BD$24))), "", (IF(SUM($BD$5:$BD$24) = 0, "", SUM($BD$5:$BD$24))))</f>
        <v>115019.11400000002</v>
      </c>
      <c r="BE4">
        <f ca="1">IF(ISERROR(IF(SUM($BE$5:$BE$24) = 0, "", SUM($BE$5:$BE$24))), "", (IF(SUM($BE$5:$BE$24) = 0, "", SUM($BE$5:$BE$24))))</f>
        <v>100095.80700000002</v>
      </c>
      <c r="BF4">
        <f ca="1">IF(ISERROR(IF(SUM($BF$5:$BF$24) = 0, "", SUM($BF$5:$BF$24))), "", (IF(SUM($BF$5:$BF$24) = 0, "", SUM($BF$5:$BF$24))))</f>
        <v>100063.98199999999</v>
      </c>
      <c r="BG4">
        <f ca="1">IF(ISERROR(IF(SUM($BG$5:$BG$24) = 0, "", SUM($BG$5:$BG$24))), "", (IF(SUM($BG$5:$BG$24) = 0, "", SUM($BG$5:$BG$24))))</f>
        <v>84303.746000000014</v>
      </c>
      <c r="BH4">
        <f ca="1">IF(ISERROR(IF(SUM($BH$5:$BH$24) = 0, "", SUM($BH$5:$BH$24))), "", (IF(SUM($BH$5:$BH$24) = 0, "", SUM($BH$5:$BH$24))))</f>
        <v>54546.413</v>
      </c>
      <c r="BI4">
        <f ca="1">IF(ISERROR(IF(SUM($BI$5:$BI$24) = 0, "", SUM($BI$5:$BI$24))), "", (IF(SUM($BI$5:$BI$24) = 0, "", SUM($BI$5:$BI$24))))</f>
        <v>44940.6</v>
      </c>
      <c r="BJ4">
        <f ca="1">IF(ISERROR(IF(SUM($BJ$5:$BJ$24) = 0, "", SUM($BJ$5:$BJ$24))), "", (IF(SUM($BJ$5:$BJ$24) = 0, "", SUM($BJ$5:$BJ$24))))</f>
        <v>43872.31</v>
      </c>
      <c r="BK4">
        <f ca="1">IF(ISERROR(IF(SUM($BK$5:$BK$24) = 0, "", SUM($BK$5:$BK$24))), "", (IF(SUM($BK$5:$BK$24) = 0, "", SUM($BK$5:$BK$24))))</f>
        <v>44375.441999999995</v>
      </c>
      <c r="BL4">
        <f ca="1">IF(ISERROR(IF(SUM($BL$5:$BL$24) = 0, "", SUM($BL$5:$BL$24))), "", (IF(SUM($BL$5:$BL$24) = 0, "", SUM($BL$5:$BL$24))))</f>
        <v>45846.405999999995</v>
      </c>
      <c r="BM4">
        <f ca="1">IF(ISERROR(IF(SUM($BM$5:$BM$24) = 0, "", SUM($BM$5:$BM$24))), "", (IF(SUM($BM$5:$BM$24) = 0, "", SUM($BM$5:$BM$24))))</f>
        <v>8094.4360000000006</v>
      </c>
      <c r="BN4">
        <f>1512637.479</f>
        <v>1512637.4790000001</v>
      </c>
      <c r="BO4">
        <f>1566444.534</f>
        <v>1566444.534</v>
      </c>
      <c r="BP4">
        <f>1708612.811</f>
        <v>1708612.811</v>
      </c>
      <c r="BQ4">
        <f>1742169.193</f>
        <v>1742169.193</v>
      </c>
      <c r="BR4">
        <f>1784956.913</f>
        <v>1784956.9129999999</v>
      </c>
      <c r="BS4">
        <f>1826313.274</f>
        <v>1826313.274</v>
      </c>
      <c r="BT4">
        <f>1871819.78</f>
        <v>1871819.78</v>
      </c>
      <c r="BU4">
        <f>1898372.899</f>
        <v>1898372.899</v>
      </c>
      <c r="BV4">
        <f>1941623.101</f>
        <v>1941623.101</v>
      </c>
      <c r="BW4">
        <f>1940889.573</f>
        <v>1940889.5730000001</v>
      </c>
      <c r="BX4">
        <f>1934892.351</f>
        <v>1934892.351</v>
      </c>
      <c r="BY4">
        <f>1732614.096</f>
        <v>1732614.0959999999</v>
      </c>
      <c r="BZ4">
        <f>1603510.522</f>
        <v>1603510.5220000001</v>
      </c>
      <c r="CA4">
        <f>1520629.804</f>
        <v>1520629.804</v>
      </c>
      <c r="CB4">
        <f>1460327.713</f>
        <v>1460327.713</v>
      </c>
      <c r="CC4">
        <f>1213736.332</f>
        <v>1213736.3319999999</v>
      </c>
      <c r="CD4">
        <f>978367.209</f>
        <v>978367.20900000003</v>
      </c>
      <c r="CE4">
        <f>784228.211</f>
        <v>784228.21100000001</v>
      </c>
      <c r="CF4">
        <f>621828.356</f>
        <v>621828.35600000003</v>
      </c>
      <c r="CG4">
        <f>607482.265</f>
        <v>607482.26500000001</v>
      </c>
      <c r="CH4">
        <f>542466.734</f>
        <v>542466.73400000005</v>
      </c>
      <c r="CI4">
        <f>607288.47</f>
        <v>607288.47</v>
      </c>
      <c r="CJ4">
        <f>596433.047</f>
        <v>596433.04700000002</v>
      </c>
      <c r="CK4">
        <f>594133.775</f>
        <v>594133.77500000002</v>
      </c>
      <c r="CL4">
        <f>597466.882</f>
        <v>597466.88199999998</v>
      </c>
      <c r="CM4">
        <f>576692.083</f>
        <v>576692.08299999998</v>
      </c>
      <c r="CN4">
        <f>544882.691</f>
        <v>544882.69099999999</v>
      </c>
      <c r="CO4">
        <f>485797.846</f>
        <v>485797.84600000002</v>
      </c>
      <c r="CP4">
        <f>512449.367</f>
        <v>512449.36700000003</v>
      </c>
      <c r="CQ4">
        <f>507485.193</f>
        <v>507485.19300000003</v>
      </c>
      <c r="CR4">
        <f>495388.236</f>
        <v>495388.23599999998</v>
      </c>
      <c r="CS4">
        <f>458558.993</f>
        <v>458558.99300000002</v>
      </c>
      <c r="CT4">
        <f>446201.046</f>
        <v>446201.04599999997</v>
      </c>
      <c r="CU4">
        <f>433499.454</f>
        <v>433499.45400000003</v>
      </c>
      <c r="CV4">
        <f>418812.483</f>
        <v>418812.48300000001</v>
      </c>
      <c r="CW4">
        <f>390776.698</f>
        <v>390776.69799999997</v>
      </c>
      <c r="CX4">
        <f>380756.633</f>
        <v>380756.63299999997</v>
      </c>
      <c r="CY4">
        <f>358393.446</f>
        <v>358393.446</v>
      </c>
      <c r="CZ4">
        <f>352846.374</f>
        <v>352846.37400000001</v>
      </c>
      <c r="DA4">
        <f>329748.462</f>
        <v>329748.462</v>
      </c>
      <c r="DB4">
        <f>315994.774</f>
        <v>315994.77399999998</v>
      </c>
      <c r="DC4">
        <f>299446.345</f>
        <v>299446.34499999997</v>
      </c>
      <c r="DD4">
        <f>283520.967</f>
        <v>283520.967</v>
      </c>
      <c r="DE4">
        <f>251873.793</f>
        <v>251873.79300000001</v>
      </c>
      <c r="DF4">
        <f>217347.493</f>
        <v>217347.49299999999</v>
      </c>
      <c r="DG4">
        <f>170289.941</f>
        <v>170289.94099999999</v>
      </c>
      <c r="DH4">
        <f>139856.361</f>
        <v>139856.361</v>
      </c>
      <c r="DI4">
        <f>129396.393</f>
        <v>129396.393</v>
      </c>
      <c r="DJ4">
        <f>129739.982</f>
        <v>129739.982</v>
      </c>
      <c r="DK4">
        <f>121398.515</f>
        <v>121398.515</v>
      </c>
      <c r="DL4">
        <f>115019.114</f>
        <v>115019.114</v>
      </c>
      <c r="DM4">
        <f>100095.807</f>
        <v>100095.807</v>
      </c>
      <c r="DN4">
        <f>100063.982</f>
        <v>100063.982</v>
      </c>
      <c r="DO4">
        <f>84303.746</f>
        <v>84303.745999999999</v>
      </c>
      <c r="DP4">
        <f>54546.413</f>
        <v>54546.413</v>
      </c>
      <c r="DQ4">
        <f>44940.6</f>
        <v>44940.6</v>
      </c>
      <c r="DR4">
        <f>43872.31</f>
        <v>43872.31</v>
      </c>
      <c r="DS4">
        <f>44375.442</f>
        <v>44375.442000000003</v>
      </c>
      <c r="DT4">
        <f>45846.406</f>
        <v>45846.406000000003</v>
      </c>
      <c r="DU4">
        <f>8094.436</f>
        <v>8094.4359999999997</v>
      </c>
    </row>
    <row r="5" spans="1:125" x14ac:dyDescent="0.25">
      <c r="A5" t="str">
        <f>"                Bank of America Corp"</f>
        <v xml:space="preserve">                Bank of America Corp</v>
      </c>
      <c r="B5" t="str">
        <f>"BAC US Equity"</f>
        <v>BAC US Equity</v>
      </c>
      <c r="C5" t="str">
        <f t="shared" ref="C5:C24" si="0">"FC470"</f>
        <v>FC470</v>
      </c>
      <c r="D5" t="str">
        <f t="shared" ref="D5:D24" si="1">"FDIC_SECS_HELD_TO_MTY_BOOK_VAL"</f>
        <v>FDIC_SECS_HELD_TO_MTY_BOOK_VAL</v>
      </c>
      <c r="E5" t="str">
        <f t="shared" ref="E5:E24" si="2">"Dynamic"</f>
        <v>Dynamic</v>
      </c>
      <c r="F5">
        <f ca="1">IF(AND(ISNUMBER($F$147),$B$145=1),$F$147,HLOOKUP(INDIRECT(ADDRESS(2,COLUMN())),OFFSET($BN$2,0,0,ROW()-1,60),ROW()-1,FALSE))</f>
        <v>558713</v>
      </c>
      <c r="G5">
        <f ca="1">IF(AND(ISNUMBER($G$147),$B$145=1),$G$147,HLOOKUP(INDIRECT(ADDRESS(2,COLUMN())),OFFSET($BN$2,0,0,ROW()-1,60),ROW()-1,FALSE))</f>
        <v>567589</v>
      </c>
      <c r="H5">
        <f ca="1">IF(AND(ISNUMBER($H$147),$B$145=1),$H$147,HLOOKUP(INDIRECT(ADDRESS(2,COLUMN())),OFFSET($BN$2,0,0,ROW()-1,60),ROW()-1,FALSE))</f>
        <v>577402</v>
      </c>
      <c r="I5">
        <f ca="1">IF(AND(ISNUMBER($I$147),$B$145=1),$I$147,HLOOKUP(INDIRECT(ADDRESS(2,COLUMN())),OFFSET($BN$2,0,0,ROW()-1,60),ROW()-1,FALSE))</f>
        <v>586899</v>
      </c>
      <c r="J5">
        <f ca="1">IF(AND(ISNUMBER($J$147),$B$145=1),$J$147,HLOOKUP(INDIRECT(ADDRESS(2,COLUMN())),OFFSET($BN$2,0,0,ROW()-1,60),ROW()-1,FALSE))</f>
        <v>594591</v>
      </c>
      <c r="K5">
        <f ca="1">IF(AND(ISNUMBER($K$147),$B$145=1),$K$147,HLOOKUP(INDIRECT(ADDRESS(2,COLUMN())),OFFSET($BN$2,0,0,ROW()-1,60),ROW()-1,FALSE))</f>
        <v>603365</v>
      </c>
      <c r="L5">
        <f ca="1">IF(AND(ISNUMBER($L$147),$B$145=1),$L$147,HLOOKUP(INDIRECT(ADDRESS(2,COLUMN())),OFFSET($BN$2,0,0,ROW()-1,60),ROW()-1,FALSE))</f>
        <v>614149</v>
      </c>
      <c r="M5">
        <f ca="1">IF(AND(ISNUMBER($M$147),$B$145=1),$M$147,HLOOKUP(INDIRECT(ADDRESS(2,COLUMN())),OFFSET($BN$2,0,0,ROW()-1,60),ROW()-1,FALSE))</f>
        <v>624528</v>
      </c>
      <c r="N5">
        <f ca="1">IF(AND(ISNUMBER($N$147),$B$145=1),$N$147,HLOOKUP(INDIRECT(ADDRESS(2,COLUMN())),OFFSET($BN$2,0,0,ROW()-1,60),ROW()-1,FALSE))</f>
        <v>632863</v>
      </c>
      <c r="O5">
        <f ca="1">IF(AND(ISNUMBER($O$147),$B$145=1),$O$147,HLOOKUP(INDIRECT(ADDRESS(2,COLUMN())),OFFSET($BN$2,0,0,ROW()-1,60),ROW()-1,FALSE))</f>
        <v>643743</v>
      </c>
      <c r="P5">
        <f ca="1">IF(AND(ISNUMBER($P$147),$B$145=1),$P$147,HLOOKUP(INDIRECT(ADDRESS(2,COLUMN())),OFFSET($BN$2,0,0,ROW()-1,60),ROW()-1,FALSE))</f>
        <v>658284</v>
      </c>
      <c r="Q5">
        <f ca="1">IF(AND(ISNUMBER($Q$147),$B$145=1),$Q$147,HLOOKUP(INDIRECT(ADDRESS(2,COLUMN())),OFFSET($BN$2,0,0,ROW()-1,60),ROW()-1,FALSE))</f>
        <v>672218</v>
      </c>
      <c r="R5">
        <f ca="1">IF(AND(ISNUMBER($R$147),$B$145=1),$R$147,HLOOKUP(INDIRECT(ADDRESS(2,COLUMN())),OFFSET($BN$2,0,0,ROW()-1,60),ROW()-1,FALSE))</f>
        <v>674591</v>
      </c>
      <c r="S5">
        <f ca="1">IF(AND(ISNUMBER($S$147),$B$145=1),$S$147,HLOOKUP(INDIRECT(ADDRESS(2,COLUMN())),OFFSET($BN$2,0,0,ROW()-1,60),ROW()-1,FALSE))</f>
        <v>683274</v>
      </c>
      <c r="T5">
        <f ca="1">IF(AND(ISNUMBER($T$147),$B$145=1),$T$147,HLOOKUP(INDIRECT(ADDRESS(2,COLUMN())),OFFSET($BN$2,0,0,ROW()-1,60),ROW()-1,FALSE))</f>
        <v>651434</v>
      </c>
      <c r="U5">
        <f ca="1">IF(AND(ISNUMBER($U$147),$B$145=1),$U$147,HLOOKUP(INDIRECT(ADDRESS(2,COLUMN())),OFFSET($BN$2,0,0,ROW()-1,60),ROW()-1,FALSE))</f>
        <v>576031</v>
      </c>
      <c r="V5">
        <f ca="1">IF(AND(ISNUMBER($V$147),$B$145=1),$V$147,HLOOKUP(INDIRECT(ADDRESS(2,COLUMN())),OFFSET($BN$2,0,0,ROW()-1,60),ROW()-1,FALSE))</f>
        <v>438279</v>
      </c>
      <c r="W5">
        <f ca="1">IF(AND(ISNUMBER($W$147),$B$145=1),$W$147,HLOOKUP(INDIRECT(ADDRESS(2,COLUMN())),OFFSET($BN$2,0,0,ROW()-1,60),ROW()-1,FALSE))</f>
        <v>338419</v>
      </c>
      <c r="X5">
        <f ca="1">IF(AND(ISNUMBER($X$147),$B$145=1),$X$147,HLOOKUP(INDIRECT(ADDRESS(2,COLUMN())),OFFSET($BN$2,0,0,ROW()-1,60),ROW()-1,FALSE))</f>
        <v>268967</v>
      </c>
      <c r="Y5">
        <f ca="1">IF(AND(ISNUMBER($Y$147),$B$145=1),$Y$147,HLOOKUP(INDIRECT(ADDRESS(2,COLUMN())),OFFSET($BN$2,0,0,ROW()-1,60),ROW()-1,FALSE))</f>
        <v>254764</v>
      </c>
      <c r="Z5">
        <f ca="1">IF(AND(ISNUMBER($Z$147),$B$145=1),$Z$147,HLOOKUP(INDIRECT(ADDRESS(2,COLUMN())),OFFSET($BN$2,0,0,ROW()-1,60),ROW()-1,FALSE))</f>
        <v>215730</v>
      </c>
      <c r="AA5">
        <f ca="1">IF(AND(ISNUMBER($AA$147),$B$145=1),$AA$147,HLOOKUP(INDIRECT(ADDRESS(2,COLUMN())),OFFSET($BN$2,0,0,ROW()-1,60),ROW()-1,FALSE))</f>
        <v>190252</v>
      </c>
      <c r="AB5">
        <f ca="1">IF(AND(ISNUMBER($AB$147),$B$145=1),$AB$147,HLOOKUP(INDIRECT(ADDRESS(2,COLUMN())),OFFSET($BN$2,0,0,ROW()-1,60),ROW()-1,FALSE))</f>
        <v>199981</v>
      </c>
      <c r="AC5">
        <f ca="1">IF(AND(ISNUMBER($AC$147),$B$145=1),$AC$147,HLOOKUP(INDIRECT(ADDRESS(2,COLUMN())),OFFSET($BN$2,0,0,ROW()-1,60),ROW()-1,FALSE))</f>
        <v>198718</v>
      </c>
      <c r="AD5">
        <f ca="1">IF(AND(ISNUMBER($AD$147),$B$145=1),$AD$147,HLOOKUP(INDIRECT(ADDRESS(2,COLUMN())),OFFSET($BN$2,0,0,ROW()-1,60),ROW()-1,FALSE))</f>
        <v>203652</v>
      </c>
      <c r="AE5">
        <f ca="1">IF(AND(ISNUMBER($AE$147),$B$145=1),$AE$147,HLOOKUP(INDIRECT(ADDRESS(2,COLUMN())),OFFSET($BN$2,0,0,ROW()-1,60),ROW()-1,FALSE))</f>
        <v>194472</v>
      </c>
      <c r="AF5">
        <f ca="1">IF(AND(ISNUMBER($AF$147),$B$145=1),$AF$147,HLOOKUP(INDIRECT(ADDRESS(2,COLUMN())),OFFSET($BN$2,0,0,ROW()-1,60),ROW()-1,FALSE))</f>
        <v>163013</v>
      </c>
      <c r="AG5">
        <f ca="1">IF(AND(ISNUMBER($AG$147),$B$145=1),$AG$147,HLOOKUP(INDIRECT(ADDRESS(2,COLUMN())),OFFSET($BN$2,0,0,ROW()-1,60),ROW()-1,FALSE))</f>
        <v>123539</v>
      </c>
      <c r="AH5">
        <f ca="1">IF(AND(ISNUMBER($AH$147),$B$145=1),$AH$147,HLOOKUP(INDIRECT(ADDRESS(2,COLUMN())),OFFSET($BN$2,0,0,ROW()-1,60),ROW()-1,FALSE))</f>
        <v>125013</v>
      </c>
      <c r="AI5">
        <f ca="1">IF(AND(ISNUMBER($AI$147),$B$145=1),$AI$147,HLOOKUP(INDIRECT(ADDRESS(2,COLUMN())),OFFSET($BN$2,0,0,ROW()-1,60),ROW()-1,FALSE))</f>
        <v>122345</v>
      </c>
      <c r="AJ5">
        <f ca="1">IF(AND(ISNUMBER($AJ$147),$B$145=1),$AJ$147,HLOOKUP(INDIRECT(ADDRESS(2,COLUMN())),OFFSET($BN$2,0,0,ROW()-1,60),ROW()-1,FALSE))</f>
        <v>119008</v>
      </c>
      <c r="AK5">
        <f ca="1">IF(AND(ISNUMBER($AK$147),$B$145=1),$AK$147,HLOOKUP(INDIRECT(ADDRESS(2,COLUMN())),OFFSET($BN$2,0,0,ROW()-1,60),ROW()-1,FALSE))</f>
        <v>116033</v>
      </c>
      <c r="AL5">
        <f ca="1">IF(AND(ISNUMBER($AL$147),$B$145=1),$AL$147,HLOOKUP(INDIRECT(ADDRESS(2,COLUMN())),OFFSET($BN$2,0,0,ROW()-1,60),ROW()-1,FALSE))</f>
        <v>117071</v>
      </c>
      <c r="AM5">
        <f ca="1">IF(AND(ISNUMBER($AM$147),$B$145=1),$AM$147,HLOOKUP(INDIRECT(ADDRESS(2,COLUMN())),OFFSET($BN$2,0,0,ROW()-1,60),ROW()-1,FALSE))</f>
        <v>112409</v>
      </c>
      <c r="AN5">
        <f ca="1">IF(AND(ISNUMBER($AN$147),$B$145=1),$AN$147,HLOOKUP(INDIRECT(ADDRESS(2,COLUMN())),OFFSET($BN$2,0,0,ROW()-1,60),ROW()-1,FALSE))</f>
        <v>102279</v>
      </c>
      <c r="AO5">
        <f ca="1">IF(AND(ISNUMBER($AO$147),$B$145=1),$AO$147,HLOOKUP(INDIRECT(ADDRESS(2,COLUMN())),OFFSET($BN$2,0,0,ROW()-1,60),ROW()-1,FALSE))</f>
        <v>97978</v>
      </c>
      <c r="AP5">
        <f ca="1">IF(AND(ISNUMBER($AP$147),$B$145=1),$AP$147,HLOOKUP(INDIRECT(ADDRESS(2,COLUMN())),OFFSET($BN$2,0,0,ROW()-1,60),ROW()-1,FALSE))</f>
        <v>84625</v>
      </c>
      <c r="AQ5">
        <f ca="1">IF(AND(ISNUMBER($AQ$147),$B$145=1),$AQ$147,HLOOKUP(INDIRECT(ADDRESS(2,COLUMN())),OFFSET($BN$2,0,0,ROW()-1,60),ROW()-1,FALSE))</f>
        <v>66573</v>
      </c>
      <c r="AR5">
        <f ca="1">IF(AND(ISNUMBER($AR$147),$B$145=1),$AR$147,HLOOKUP(INDIRECT(ADDRESS(2,COLUMN())),OFFSET($BN$2,0,0,ROW()-1,60),ROW()-1,FALSE))</f>
        <v>60072</v>
      </c>
      <c r="AS5">
        <f ca="1">IF(AND(ISNUMBER($AS$147),$B$145=1),$AS$147,HLOOKUP(INDIRECT(ADDRESS(2,COLUMN())),OFFSET($BN$2,0,0,ROW()-1,60),ROW()-1,FALSE))</f>
        <v>59815</v>
      </c>
      <c r="AT5">
        <f ca="1">IF(AND(ISNUMBER($AT$147),$B$145=1),$AT$147,HLOOKUP(INDIRECT(ADDRESS(2,COLUMN())),OFFSET($BN$2,0,0,ROW()-1,60),ROW()-1,FALSE))</f>
        <v>59766</v>
      </c>
      <c r="AU5">
        <f ca="1">IF(AND(ISNUMBER($AU$147),$B$145=1),$AU$147,HLOOKUP(INDIRECT(ADDRESS(2,COLUMN())),OFFSET($BN$2,0,0,ROW()-1,60),ROW()-1,FALSE))</f>
        <v>60175</v>
      </c>
      <c r="AV5">
        <f ca="1">IF(AND(ISNUMBER($AV$147),$B$145=1),$AV$147,HLOOKUP(INDIRECT(ADDRESS(2,COLUMN())),OFFSET($BN$2,0,0,ROW()-1,60),ROW()-1,FALSE))</f>
        <v>60022</v>
      </c>
      <c r="AW5">
        <f ca="1">IF(AND(ISNUMBER($AW$147),$B$145=1),$AW$147,HLOOKUP(INDIRECT(ADDRESS(2,COLUMN())),OFFSET($BN$2,0,0,ROW()-1,60),ROW()-1,FALSE))</f>
        <v>55120</v>
      </c>
      <c r="AX5">
        <f ca="1">IF(AND(ISNUMBER($AX$147),$B$145=1),$AX$147,HLOOKUP(INDIRECT(ADDRESS(2,COLUMN())),OFFSET($BN$2,0,0,ROW()-1,60),ROW()-1,FALSE))</f>
        <v>55150</v>
      </c>
      <c r="AY5">
        <f ca="1">IF(AND(ISNUMBER($AY$147),$B$145=1),$AY$147,HLOOKUP(INDIRECT(ADDRESS(2,COLUMN())),OFFSET($BN$2,0,0,ROW()-1,60),ROW()-1,FALSE))</f>
        <v>54649</v>
      </c>
      <c r="AZ5">
        <f ca="1">IF(AND(ISNUMBER($AZ$147),$B$145=1),$AZ$147,HLOOKUP(INDIRECT(ADDRESS(2,COLUMN())),OFFSET($BN$2,0,0,ROW()-1,60),ROW()-1,FALSE))</f>
        <v>54922</v>
      </c>
      <c r="BA5">
        <f ca="1">IF(AND(ISNUMBER($BA$147),$B$145=1),$BA$147,HLOOKUP(INDIRECT(ADDRESS(2,COLUMN())),OFFSET($BN$2,0,0,ROW()-1,60),ROW()-1,FALSE))</f>
        <v>49577</v>
      </c>
      <c r="BB5">
        <f ca="1">IF(AND(ISNUMBER($BB$147),$B$145=1),$BB$147,HLOOKUP(INDIRECT(ADDRESS(2,COLUMN())),OFFSET($BN$2,0,0,ROW()-1,60),ROW()-1,FALSE))</f>
        <v>49480.678</v>
      </c>
      <c r="BC5">
        <f ca="1">IF(AND(ISNUMBER($BC$147),$B$145=1),$BC$147,HLOOKUP(INDIRECT(ADDRESS(2,COLUMN())),OFFSET($BN$2,0,0,ROW()-1,60),ROW()-1,FALSE))</f>
        <v>39897.925999999999</v>
      </c>
      <c r="BD5">
        <f ca="1">IF(AND(ISNUMBER($BD$147),$B$145=1),$BD$147,HLOOKUP(INDIRECT(ADDRESS(2,COLUMN())),OFFSET($BN$2,0,0,ROW()-1,60),ROW()-1,FALSE))</f>
        <v>35167.512999999999</v>
      </c>
      <c r="BE5">
        <f ca="1">IF(AND(ISNUMBER($BE$147),$B$145=1),$BE$147,HLOOKUP(INDIRECT(ADDRESS(2,COLUMN())),OFFSET($BN$2,0,0,ROW()-1,60),ROW()-1,FALSE))</f>
        <v>34205.133000000002</v>
      </c>
      <c r="BF5">
        <f ca="1">IF(AND(ISNUMBER($BF$147),$B$145=1),$BF$147,HLOOKUP(INDIRECT(ADDRESS(2,COLUMN())),OFFSET($BN$2,0,0,ROW()-1,60),ROW()-1,FALSE))</f>
        <v>35265.406000000003</v>
      </c>
      <c r="BG5">
        <f ca="1">IF(AND(ISNUMBER($BG$147),$B$145=1),$BG$147,HLOOKUP(INDIRECT(ADDRESS(2,COLUMN())),OFFSET($BN$2,0,0,ROW()-1,60),ROW()-1,FALSE))</f>
        <v>26458.178</v>
      </c>
      <c r="BH5">
        <f ca="1">IF(AND(ISNUMBER($BH$147),$B$145=1),$BH$147,HLOOKUP(INDIRECT(ADDRESS(2,COLUMN())),OFFSET($BN$2,0,0,ROW()-1,60),ROW()-1,FALSE))</f>
        <v>180.69499999999999</v>
      </c>
      <c r="BI5">
        <f ca="1">IF(AND(ISNUMBER($BI$147),$B$145=1),$BI$147,HLOOKUP(INDIRECT(ADDRESS(2,COLUMN())),OFFSET($BN$2,0,0,ROW()-1,60),ROW()-1,FALSE))</f>
        <v>431.041</v>
      </c>
      <c r="BJ5">
        <f ca="1">IF(AND(ISNUMBER($BJ$147),$B$145=1),$BJ$147,HLOOKUP(INDIRECT(ADDRESS(2,COLUMN())),OFFSET($BN$2,0,0,ROW()-1,60),ROW()-1,FALSE))</f>
        <v>426.93599999999998</v>
      </c>
      <c r="BK5">
        <f ca="1">IF(AND(ISNUMBER($BK$147),$B$145=1),$BK$147,HLOOKUP(INDIRECT(ADDRESS(2,COLUMN())),OFFSET($BN$2,0,0,ROW()-1,60),ROW()-1,FALSE))</f>
        <v>437.851</v>
      </c>
      <c r="BL5">
        <f ca="1">IF(AND(ISNUMBER($BL$147),$B$145=1),$BL$147,HLOOKUP(INDIRECT(ADDRESS(2,COLUMN())),OFFSET($BN$2,0,0,ROW()-1,60),ROW()-1,FALSE))</f>
        <v>435.185</v>
      </c>
      <c r="BM5" t="str">
        <f ca="1">IF(AND(ISNUMBER($BM$147),$B$145=1),$BM$147,HLOOKUP(INDIRECT(ADDRESS(2,COLUMN())),OFFSET($BN$2,0,0,ROW()-1,60),ROW()-1,FALSE))</f>
        <v/>
      </c>
      <c r="BN5">
        <f>558713</f>
        <v>558713</v>
      </c>
      <c r="BO5">
        <f>567589</f>
        <v>567589</v>
      </c>
      <c r="BP5">
        <f>577402</f>
        <v>577402</v>
      </c>
      <c r="BQ5">
        <f>586899</f>
        <v>586899</v>
      </c>
      <c r="BR5">
        <f>594591</f>
        <v>594591</v>
      </c>
      <c r="BS5">
        <f>603365</f>
        <v>603365</v>
      </c>
      <c r="BT5">
        <f>614149</f>
        <v>614149</v>
      </c>
      <c r="BU5">
        <f>624528</f>
        <v>624528</v>
      </c>
      <c r="BV5">
        <f>632863</f>
        <v>632863</v>
      </c>
      <c r="BW5">
        <f>643743</f>
        <v>643743</v>
      </c>
      <c r="BX5">
        <f>658284</f>
        <v>658284</v>
      </c>
      <c r="BY5">
        <f>672218</f>
        <v>672218</v>
      </c>
      <c r="BZ5">
        <f>674591</f>
        <v>674591</v>
      </c>
      <c r="CA5">
        <f>683274</f>
        <v>683274</v>
      </c>
      <c r="CB5">
        <f>651434</f>
        <v>651434</v>
      </c>
      <c r="CC5">
        <f>576031</f>
        <v>576031</v>
      </c>
      <c r="CD5">
        <f>438279</f>
        <v>438279</v>
      </c>
      <c r="CE5">
        <f>338419</f>
        <v>338419</v>
      </c>
      <c r="CF5">
        <f>268967</f>
        <v>268967</v>
      </c>
      <c r="CG5">
        <f>254764</f>
        <v>254764</v>
      </c>
      <c r="CH5">
        <f>215730</f>
        <v>215730</v>
      </c>
      <c r="CI5">
        <f>190252</f>
        <v>190252</v>
      </c>
      <c r="CJ5">
        <f>199981</f>
        <v>199981</v>
      </c>
      <c r="CK5">
        <f>198718</f>
        <v>198718</v>
      </c>
      <c r="CL5">
        <f>203652</f>
        <v>203652</v>
      </c>
      <c r="CM5">
        <f>194472</f>
        <v>194472</v>
      </c>
      <c r="CN5">
        <f>163013</f>
        <v>163013</v>
      </c>
      <c r="CO5">
        <f>123539</f>
        <v>123539</v>
      </c>
      <c r="CP5">
        <f>125013</f>
        <v>125013</v>
      </c>
      <c r="CQ5">
        <f>122345</f>
        <v>122345</v>
      </c>
      <c r="CR5">
        <f>119008</f>
        <v>119008</v>
      </c>
      <c r="CS5">
        <f>116033</f>
        <v>116033</v>
      </c>
      <c r="CT5">
        <f>117071</f>
        <v>117071</v>
      </c>
      <c r="CU5">
        <f>112409</f>
        <v>112409</v>
      </c>
      <c r="CV5">
        <f>102279</f>
        <v>102279</v>
      </c>
      <c r="CW5">
        <f>97978</f>
        <v>97978</v>
      </c>
      <c r="CX5">
        <f>84625</f>
        <v>84625</v>
      </c>
      <c r="CY5">
        <f>66573</f>
        <v>66573</v>
      </c>
      <c r="CZ5">
        <f>60072</f>
        <v>60072</v>
      </c>
      <c r="DA5">
        <f>59815</f>
        <v>59815</v>
      </c>
      <c r="DB5">
        <f>59766</f>
        <v>59766</v>
      </c>
      <c r="DC5">
        <f>60175</f>
        <v>60175</v>
      </c>
      <c r="DD5">
        <f>60022</f>
        <v>60022</v>
      </c>
      <c r="DE5">
        <f>55120</f>
        <v>55120</v>
      </c>
      <c r="DF5">
        <f>55150</f>
        <v>55150</v>
      </c>
      <c r="DG5">
        <f>54649</f>
        <v>54649</v>
      </c>
      <c r="DH5">
        <f>54922</f>
        <v>54922</v>
      </c>
      <c r="DI5">
        <f>49577</f>
        <v>49577</v>
      </c>
      <c r="DJ5">
        <f>49480.678</f>
        <v>49480.678</v>
      </c>
      <c r="DK5">
        <f>39897.926</f>
        <v>39897.925999999999</v>
      </c>
      <c r="DL5">
        <f>35167.513</f>
        <v>35167.512999999999</v>
      </c>
      <c r="DM5">
        <f>34205.133</f>
        <v>34205.133000000002</v>
      </c>
      <c r="DN5">
        <f>35265.406</f>
        <v>35265.406000000003</v>
      </c>
      <c r="DO5">
        <f>26458.178</f>
        <v>26458.178</v>
      </c>
      <c r="DP5">
        <f>180.695</f>
        <v>180.69499999999999</v>
      </c>
      <c r="DQ5">
        <f>431.041</f>
        <v>431.041</v>
      </c>
      <c r="DR5">
        <f>426.936</f>
        <v>426.93599999999998</v>
      </c>
      <c r="DS5">
        <f>437.851</f>
        <v>437.851</v>
      </c>
      <c r="DT5">
        <f>435.185</f>
        <v>435.185</v>
      </c>
      <c r="DU5" t="str">
        <f>""</f>
        <v/>
      </c>
    </row>
    <row r="6" spans="1:125" x14ac:dyDescent="0.25">
      <c r="A6" t="str">
        <f>"                Citigroup Inc"</f>
        <v xml:space="preserve">                Citigroup Inc</v>
      </c>
      <c r="B6" t="str">
        <f>"C US Equity"</f>
        <v>C US Equity</v>
      </c>
      <c r="C6" t="str">
        <f t="shared" si="0"/>
        <v>FC470</v>
      </c>
      <c r="D6" t="str">
        <f t="shared" si="1"/>
        <v>FDIC_SECS_HELD_TO_MTY_BOOK_VAL</v>
      </c>
      <c r="E6" t="str">
        <f t="shared" si="2"/>
        <v>Dynamic</v>
      </c>
      <c r="F6">
        <f ca="1">IF(AND(ISNUMBER($F$148),$B$145=1),$F$148,HLOOKUP(INDIRECT(ADDRESS(2,COLUMN())),OFFSET($BN$2,0,0,ROW()-1,60),ROW()-1,FALSE))</f>
        <v>242519</v>
      </c>
      <c r="G6">
        <f ca="1">IF(AND(ISNUMBER($G$148),$B$145=1),$G$148,HLOOKUP(INDIRECT(ADDRESS(2,COLUMN())),OFFSET($BN$2,0,0,ROW()-1,60),ROW()-1,FALSE))</f>
        <v>248416</v>
      </c>
      <c r="H6">
        <f ca="1">IF(AND(ISNUMBER($H$148),$B$145=1),$H$148,HLOOKUP(INDIRECT(ADDRESS(2,COLUMN())),OFFSET($BN$2,0,0,ROW()-1,60),ROW()-1,FALSE))</f>
        <v>251225</v>
      </c>
      <c r="I6">
        <f ca="1">IF(AND(ISNUMBER($I$148),$B$145=1),$I$148,HLOOKUP(INDIRECT(ADDRESS(2,COLUMN())),OFFSET($BN$2,0,0,ROW()-1,60),ROW()-1,FALSE))</f>
        <v>252564</v>
      </c>
      <c r="J6">
        <f ca="1">IF(AND(ISNUMBER($J$148),$B$145=1),$J$148,HLOOKUP(INDIRECT(ADDRESS(2,COLUMN())),OFFSET($BN$2,0,0,ROW()-1,60),ROW()-1,FALSE))</f>
        <v>254342</v>
      </c>
      <c r="K6">
        <f ca="1">IF(AND(ISNUMBER($K$148),$B$145=1),$K$148,HLOOKUP(INDIRECT(ADDRESS(2,COLUMN())),OFFSET($BN$2,0,0,ROW()-1,60),ROW()-1,FALSE))</f>
        <v>259551</v>
      </c>
      <c r="L6">
        <f ca="1">IF(AND(ISNUMBER($L$148),$B$145=1),$L$148,HLOOKUP(INDIRECT(ADDRESS(2,COLUMN())),OFFSET($BN$2,0,0,ROW()-1,60),ROW()-1,FALSE))</f>
        <v>262165</v>
      </c>
      <c r="M6">
        <f ca="1">IF(AND(ISNUMBER($M$148),$B$145=1),$M$148,HLOOKUP(INDIRECT(ADDRESS(2,COLUMN())),OFFSET($BN$2,0,0,ROW()-1,60),ROW()-1,FALSE))</f>
        <v>264446</v>
      </c>
      <c r="N6">
        <f ca="1">IF(AND(ISNUMBER($N$148),$B$145=1),$N$148,HLOOKUP(INDIRECT(ADDRESS(2,COLUMN())),OFFSET($BN$2,0,0,ROW()-1,60),ROW()-1,FALSE))</f>
        <v>268983</v>
      </c>
      <c r="O6">
        <f ca="1">IF(AND(ISNUMBER($O$148),$B$145=1),$O$148,HLOOKUP(INDIRECT(ADDRESS(2,COLUMN())),OFFSET($BN$2,0,0,ROW()-1,60),ROW()-1,FALSE))</f>
        <v>267979</v>
      </c>
      <c r="P6">
        <f ca="1">IF(AND(ISNUMBER($P$148),$B$145=1),$P$148,HLOOKUP(INDIRECT(ADDRESS(2,COLUMN())),OFFSET($BN$2,0,0,ROW()-1,60),ROW()-1,FALSE))</f>
        <v>267697</v>
      </c>
      <c r="Q6">
        <f ca="1">IF(AND(ISNUMBER($Q$148),$B$145=1),$Q$148,HLOOKUP(INDIRECT(ADDRESS(2,COLUMN())),OFFSET($BN$2,0,0,ROW()-1,60),ROW()-1,FALSE))</f>
        <v>242632</v>
      </c>
      <c r="R6">
        <f ca="1">IF(AND(ISNUMBER($R$148),$B$145=1),$R$148,HLOOKUP(INDIRECT(ADDRESS(2,COLUMN())),OFFSET($BN$2,0,0,ROW()-1,60),ROW()-1,FALSE))</f>
        <v>217050</v>
      </c>
      <c r="S6">
        <f ca="1">IF(AND(ISNUMBER($S$148),$B$145=1),$S$148,HLOOKUP(INDIRECT(ADDRESS(2,COLUMN())),OFFSET($BN$2,0,0,ROW()-1,60),ROW()-1,FALSE))</f>
        <v>198129</v>
      </c>
      <c r="T6">
        <f ca="1">IF(AND(ISNUMBER($T$148),$B$145=1),$T$148,HLOOKUP(INDIRECT(ADDRESS(2,COLUMN())),OFFSET($BN$2,0,0,ROW()-1,60),ROW()-1,FALSE))</f>
        <v>176825</v>
      </c>
      <c r="U6">
        <f ca="1">IF(AND(ISNUMBER($U$148),$B$145=1),$U$148,HLOOKUP(INDIRECT(ADDRESS(2,COLUMN())),OFFSET($BN$2,0,0,ROW()-1,60),ROW()-1,FALSE))</f>
        <v>161820</v>
      </c>
      <c r="V6">
        <f ca="1">IF(AND(ISNUMBER($V$148),$B$145=1),$V$148,HLOOKUP(INDIRECT(ADDRESS(2,COLUMN())),OFFSET($BN$2,0,0,ROW()-1,60),ROW()-1,FALSE))</f>
        <v>105029</v>
      </c>
      <c r="W6">
        <f ca="1">IF(AND(ISNUMBER($W$148),$B$145=1),$W$148,HLOOKUP(INDIRECT(ADDRESS(2,COLUMN())),OFFSET($BN$2,0,0,ROW()-1,60),ROW()-1,FALSE))</f>
        <v>96163</v>
      </c>
      <c r="X6">
        <f ca="1">IF(AND(ISNUMBER($X$148),$B$145=1),$X$148,HLOOKUP(INDIRECT(ADDRESS(2,COLUMN())),OFFSET($BN$2,0,0,ROW()-1,60),ROW()-1,FALSE))</f>
        <v>83439</v>
      </c>
      <c r="Y6">
        <f ca="1">IF(AND(ISNUMBER($Y$148),$B$145=1),$Y$148,HLOOKUP(INDIRECT(ADDRESS(2,COLUMN())),OFFSET($BN$2,0,0,ROW()-1,60),ROW()-1,FALSE))</f>
        <v>82391</v>
      </c>
      <c r="Z6">
        <f ca="1">IF(AND(ISNUMBER($Z$148),$B$145=1),$Z$148,HLOOKUP(INDIRECT(ADDRESS(2,COLUMN())),OFFSET($BN$2,0,0,ROW()-1,60),ROW()-1,FALSE))</f>
        <v>80775</v>
      </c>
      <c r="AA6">
        <f ca="1">IF(AND(ISNUMBER($AA$148),$B$145=1),$AA$148,HLOOKUP(INDIRECT(ADDRESS(2,COLUMN())),OFFSET($BN$2,0,0,ROW()-1,60),ROW()-1,FALSE))</f>
        <v>75841</v>
      </c>
      <c r="AB6">
        <f ca="1">IF(AND(ISNUMBER($AB$148),$B$145=1),$AB$148,HLOOKUP(INDIRECT(ADDRESS(2,COLUMN())),OFFSET($BN$2,0,0,ROW()-1,60),ROW()-1,FALSE))</f>
        <v>68693</v>
      </c>
      <c r="AC6">
        <f ca="1">IF(AND(ISNUMBER($AC$148),$B$145=1),$AC$148,HLOOKUP(INDIRECT(ADDRESS(2,COLUMN())),OFFSET($BN$2,0,0,ROW()-1,60),ROW()-1,FALSE))</f>
        <v>66842</v>
      </c>
      <c r="AD6">
        <f ca="1">IF(AND(ISNUMBER($AD$148),$B$145=1),$AD$148,HLOOKUP(INDIRECT(ADDRESS(2,COLUMN())),OFFSET($BN$2,0,0,ROW()-1,60),ROW()-1,FALSE))</f>
        <v>63357</v>
      </c>
      <c r="AE6">
        <f ca="1">IF(AND(ISNUMBER($AE$148),$B$145=1),$AE$148,HLOOKUP(INDIRECT(ADDRESS(2,COLUMN())),OFFSET($BN$2,0,0,ROW()-1,60),ROW()-1,FALSE))</f>
        <v>53249</v>
      </c>
      <c r="AF6">
        <f ca="1">IF(AND(ISNUMBER($AF$148),$B$145=1),$AF$148,HLOOKUP(INDIRECT(ADDRESS(2,COLUMN())),OFFSET($BN$2,0,0,ROW()-1,60),ROW()-1,FALSE))</f>
        <v>52897</v>
      </c>
      <c r="AG6">
        <f ca="1">IF(AND(ISNUMBER($AG$148),$B$145=1),$AG$148,HLOOKUP(INDIRECT(ADDRESS(2,COLUMN())),OFFSET($BN$2,0,0,ROW()-1,60),ROW()-1,FALSE))</f>
        <v>52492</v>
      </c>
      <c r="AH6">
        <f ca="1">IF(AND(ISNUMBER($AH$148),$B$145=1),$AH$148,HLOOKUP(INDIRECT(ADDRESS(2,COLUMN())),OFFSET($BN$2,0,0,ROW()-1,60),ROW()-1,FALSE))</f>
        <v>53320</v>
      </c>
      <c r="AI6">
        <f ca="1">IF(AND(ISNUMBER($AI$148),$B$145=1),$AI$148,HLOOKUP(INDIRECT(ADDRESS(2,COLUMN())),OFFSET($BN$2,0,0,ROW()-1,60),ROW()-1,FALSE))</f>
        <v>51527</v>
      </c>
      <c r="AJ6">
        <f ca="1">IF(AND(ISNUMBER($AJ$148),$B$145=1),$AJ$148,HLOOKUP(INDIRECT(ADDRESS(2,COLUMN())),OFFSET($BN$2,0,0,ROW()-1,60),ROW()-1,FALSE))</f>
        <v>50175</v>
      </c>
      <c r="AK6">
        <f ca="1">IF(AND(ISNUMBER($AK$148),$B$145=1),$AK$148,HLOOKUP(INDIRECT(ADDRESS(2,COLUMN())),OFFSET($BN$2,0,0,ROW()-1,60),ROW()-1,FALSE))</f>
        <v>47942</v>
      </c>
      <c r="AL6">
        <f ca="1">IF(AND(ISNUMBER($AL$148),$B$145=1),$AL$148,HLOOKUP(INDIRECT(ADDRESS(2,COLUMN())),OFFSET($BN$2,0,0,ROW()-1,60),ROW()-1,FALSE))</f>
        <v>45667</v>
      </c>
      <c r="AM6">
        <f ca="1">IF(AND(ISNUMBER($AM$148),$B$145=1),$AM$148,HLOOKUP(INDIRECT(ADDRESS(2,COLUMN())),OFFSET($BN$2,0,0,ROW()-1,60),ROW()-1,FALSE))</f>
        <v>38588</v>
      </c>
      <c r="AN6">
        <f ca="1">IF(AND(ISNUMBER($AN$148),$B$145=1),$AN$148,HLOOKUP(INDIRECT(ADDRESS(2,COLUMN())),OFFSET($BN$2,0,0,ROW()-1,60),ROW()-1,FALSE))</f>
        <v>35903</v>
      </c>
      <c r="AO6">
        <f ca="1">IF(AND(ISNUMBER($AO$148),$B$145=1),$AO$148,HLOOKUP(INDIRECT(ADDRESS(2,COLUMN())),OFFSET($BN$2,0,0,ROW()-1,60),ROW()-1,FALSE))</f>
        <v>36890</v>
      </c>
      <c r="AP6">
        <f ca="1">IF(AND(ISNUMBER($AP$148),$B$145=1),$AP$148,HLOOKUP(INDIRECT(ADDRESS(2,COLUMN())),OFFSET($BN$2,0,0,ROW()-1,60),ROW()-1,FALSE))</f>
        <v>36215</v>
      </c>
      <c r="AQ6">
        <f ca="1">IF(AND(ISNUMBER($AQ$148),$B$145=1),$AQ$148,HLOOKUP(INDIRECT(ADDRESS(2,COLUMN())),OFFSET($BN$2,0,0,ROW()-1,60),ROW()-1,FALSE))</f>
        <v>33940</v>
      </c>
      <c r="AR6">
        <f ca="1">IF(AND(ISNUMBER($AR$148),$B$145=1),$AR$148,HLOOKUP(INDIRECT(ADDRESS(2,COLUMN())),OFFSET($BN$2,0,0,ROW()-1,60),ROW()-1,FALSE))</f>
        <v>30166</v>
      </c>
      <c r="AS6">
        <f ca="1">IF(AND(ISNUMBER($AS$148),$B$145=1),$AS$148,HLOOKUP(INDIRECT(ADDRESS(2,COLUMN())),OFFSET($BN$2,0,0,ROW()-1,60),ROW()-1,FALSE))</f>
        <v>23254</v>
      </c>
      <c r="AT6">
        <f ca="1">IF(AND(ISNUMBER($AT$148),$B$145=1),$AT$148,HLOOKUP(INDIRECT(ADDRESS(2,COLUMN())),OFFSET($BN$2,0,0,ROW()-1,60),ROW()-1,FALSE))</f>
        <v>23921</v>
      </c>
      <c r="AU6">
        <f ca="1">IF(AND(ISNUMBER($AU$148),$B$145=1),$AU$148,HLOOKUP(INDIRECT(ADDRESS(2,COLUMN())),OFFSET($BN$2,0,0,ROW()-1,60),ROW()-1,FALSE))</f>
        <v>24038</v>
      </c>
      <c r="AV6">
        <f ca="1">IF(AND(ISNUMBER($AV$148),$B$145=1),$AV$148,HLOOKUP(INDIRECT(ADDRESS(2,COLUMN())),OFFSET($BN$2,0,0,ROW()-1,60),ROW()-1,FALSE))</f>
        <v>22330</v>
      </c>
      <c r="AW6">
        <f ca="1">IF(AND(ISNUMBER($AW$148),$B$145=1),$AW$148,HLOOKUP(INDIRECT(ADDRESS(2,COLUMN())),OFFSET($BN$2,0,0,ROW()-1,60),ROW()-1,FALSE))</f>
        <v>10600</v>
      </c>
      <c r="AX6">
        <f ca="1">IF(AND(ISNUMBER($AX$148),$B$145=1),$AX$148,HLOOKUP(INDIRECT(ADDRESS(2,COLUMN())),OFFSET($BN$2,0,0,ROW()-1,60),ROW()-1,FALSE))</f>
        <v>10599</v>
      </c>
      <c r="AY6">
        <f ca="1">IF(AND(ISNUMBER($AY$148),$B$145=1),$AY$148,HLOOKUP(INDIRECT(ADDRESS(2,COLUMN())),OFFSET($BN$2,0,0,ROW()-1,60),ROW()-1,FALSE))</f>
        <v>10808</v>
      </c>
      <c r="AZ6">
        <f ca="1">IF(AND(ISNUMBER($AZ$148),$B$145=1),$AZ$148,HLOOKUP(INDIRECT(ADDRESS(2,COLUMN())),OFFSET($BN$2,0,0,ROW()-1,60),ROW()-1,FALSE))</f>
        <v>9602</v>
      </c>
      <c r="BA6">
        <f ca="1">IF(AND(ISNUMBER($BA$148),$B$145=1),$BA$148,HLOOKUP(INDIRECT(ADDRESS(2,COLUMN())),OFFSET($BN$2,0,0,ROW()-1,60),ROW()-1,FALSE))</f>
        <v>10056</v>
      </c>
      <c r="BB6">
        <f ca="1">IF(AND(ISNUMBER($BB$148),$B$145=1),$BB$148,HLOOKUP(INDIRECT(ADDRESS(2,COLUMN())),OFFSET($BN$2,0,0,ROW()-1,60),ROW()-1,FALSE))</f>
        <v>10130</v>
      </c>
      <c r="BC6">
        <f ca="1">IF(AND(ISNUMBER($BC$148),$B$145=1),$BC$148,HLOOKUP(INDIRECT(ADDRESS(2,COLUMN())),OFFSET($BN$2,0,0,ROW()-1,60),ROW()-1,FALSE))</f>
        <v>10943</v>
      </c>
      <c r="BD6">
        <f ca="1">IF(AND(ISNUMBER($BD$148),$B$145=1),$BD$148,HLOOKUP(INDIRECT(ADDRESS(2,COLUMN())),OFFSET($BN$2,0,0,ROW()-1,60),ROW()-1,FALSE))</f>
        <v>11349</v>
      </c>
      <c r="BE6">
        <f ca="1">IF(AND(ISNUMBER($BE$148),$B$145=1),$BE$148,HLOOKUP(INDIRECT(ADDRESS(2,COLUMN())),OFFSET($BN$2,0,0,ROW()-1,60),ROW()-1,FALSE))</f>
        <v>10126</v>
      </c>
      <c r="BF6">
        <f ca="1">IF(AND(ISNUMBER($BF$148),$B$145=1),$BF$148,HLOOKUP(INDIRECT(ADDRESS(2,COLUMN())),OFFSET($BN$2,0,0,ROW()-1,60),ROW()-1,FALSE))</f>
        <v>11483</v>
      </c>
      <c r="BG6">
        <f ca="1">IF(AND(ISNUMBER($BG$148),$B$145=1),$BG$148,HLOOKUP(INDIRECT(ADDRESS(2,COLUMN())),OFFSET($BN$2,0,0,ROW()-1,60),ROW()-1,FALSE))</f>
        <v>12866</v>
      </c>
      <c r="BH6">
        <f ca="1">IF(AND(ISNUMBER($BH$148),$B$145=1),$BH$148,HLOOKUP(INDIRECT(ADDRESS(2,COLUMN())),OFFSET($BN$2,0,0,ROW()-1,60),ROW()-1,FALSE))</f>
        <v>14910</v>
      </c>
      <c r="BI6">
        <f ca="1">IF(AND(ISNUMBER($BI$148),$B$145=1),$BI$148,HLOOKUP(INDIRECT(ADDRESS(2,COLUMN())),OFFSET($BN$2,0,0,ROW()-1,60),ROW()-1,FALSE))</f>
        <v>15484</v>
      </c>
      <c r="BJ6">
        <f ca="1">IF(AND(ISNUMBER($BJ$148),$B$145=1),$BJ$148,HLOOKUP(INDIRECT(ADDRESS(2,COLUMN())),OFFSET($BN$2,0,0,ROW()-1,60),ROW()-1,FALSE))</f>
        <v>29107</v>
      </c>
      <c r="BK6">
        <f ca="1">IF(AND(ISNUMBER($BK$148),$B$145=1),$BK$148,HLOOKUP(INDIRECT(ADDRESS(2,COLUMN())),OFFSET($BN$2,0,0,ROW()-1,60),ROW()-1,FALSE))</f>
        <v>30107</v>
      </c>
      <c r="BL6">
        <f ca="1">IF(AND(ISNUMBER($BL$148),$B$145=1),$BL$148,HLOOKUP(INDIRECT(ADDRESS(2,COLUMN())),OFFSET($BN$2,0,0,ROW()-1,60),ROW()-1,FALSE))</f>
        <v>31283</v>
      </c>
      <c r="BM6" t="str">
        <f ca="1">IF(AND(ISNUMBER($BM$148),$B$145=1),$BM$148,HLOOKUP(INDIRECT(ADDRESS(2,COLUMN())),OFFSET($BN$2,0,0,ROW()-1,60),ROW()-1,FALSE))</f>
        <v/>
      </c>
      <c r="BN6">
        <f>242519</f>
        <v>242519</v>
      </c>
      <c r="BO6">
        <f>248416</f>
        <v>248416</v>
      </c>
      <c r="BP6">
        <f>251225</f>
        <v>251225</v>
      </c>
      <c r="BQ6">
        <f>252564</f>
        <v>252564</v>
      </c>
      <c r="BR6">
        <f>254342</f>
        <v>254342</v>
      </c>
      <c r="BS6">
        <f>259551</f>
        <v>259551</v>
      </c>
      <c r="BT6">
        <f>262165</f>
        <v>262165</v>
      </c>
      <c r="BU6">
        <f>264446</f>
        <v>264446</v>
      </c>
      <c r="BV6">
        <f>268983</f>
        <v>268983</v>
      </c>
      <c r="BW6">
        <f>267979</f>
        <v>267979</v>
      </c>
      <c r="BX6">
        <f>267697</f>
        <v>267697</v>
      </c>
      <c r="BY6">
        <f>242632</f>
        <v>242632</v>
      </c>
      <c r="BZ6">
        <f>217050</f>
        <v>217050</v>
      </c>
      <c r="CA6">
        <f>198129</f>
        <v>198129</v>
      </c>
      <c r="CB6">
        <f>176825</f>
        <v>176825</v>
      </c>
      <c r="CC6">
        <f>161820</f>
        <v>161820</v>
      </c>
      <c r="CD6">
        <f>105029</f>
        <v>105029</v>
      </c>
      <c r="CE6">
        <f>96163</f>
        <v>96163</v>
      </c>
      <c r="CF6">
        <f>83439</f>
        <v>83439</v>
      </c>
      <c r="CG6">
        <f>82391</f>
        <v>82391</v>
      </c>
      <c r="CH6">
        <f>80775</f>
        <v>80775</v>
      </c>
      <c r="CI6">
        <f>75841</f>
        <v>75841</v>
      </c>
      <c r="CJ6">
        <f>68693</f>
        <v>68693</v>
      </c>
      <c r="CK6">
        <f>66842</f>
        <v>66842</v>
      </c>
      <c r="CL6">
        <f>63357</f>
        <v>63357</v>
      </c>
      <c r="CM6">
        <f>53249</f>
        <v>53249</v>
      </c>
      <c r="CN6">
        <f>52897</f>
        <v>52897</v>
      </c>
      <c r="CO6">
        <f>52492</f>
        <v>52492</v>
      </c>
      <c r="CP6">
        <f>53320</f>
        <v>53320</v>
      </c>
      <c r="CQ6">
        <f>51527</f>
        <v>51527</v>
      </c>
      <c r="CR6">
        <f>50175</f>
        <v>50175</v>
      </c>
      <c r="CS6">
        <f>47942</f>
        <v>47942</v>
      </c>
      <c r="CT6">
        <f>45667</f>
        <v>45667</v>
      </c>
      <c r="CU6">
        <f>38588</f>
        <v>38588</v>
      </c>
      <c r="CV6">
        <f>35903</f>
        <v>35903</v>
      </c>
      <c r="CW6">
        <f>36890</f>
        <v>36890</v>
      </c>
      <c r="CX6">
        <f>36215</f>
        <v>36215</v>
      </c>
      <c r="CY6">
        <f>33940</f>
        <v>33940</v>
      </c>
      <c r="CZ6">
        <f>30166</f>
        <v>30166</v>
      </c>
      <c r="DA6">
        <f>23254</f>
        <v>23254</v>
      </c>
      <c r="DB6">
        <f>23921</f>
        <v>23921</v>
      </c>
      <c r="DC6">
        <f>24038</f>
        <v>24038</v>
      </c>
      <c r="DD6">
        <f>22330</f>
        <v>22330</v>
      </c>
      <c r="DE6">
        <f>10600</f>
        <v>10600</v>
      </c>
      <c r="DF6">
        <f>10599</f>
        <v>10599</v>
      </c>
      <c r="DG6">
        <f>10808</f>
        <v>10808</v>
      </c>
      <c r="DH6">
        <f>9602</f>
        <v>9602</v>
      </c>
      <c r="DI6">
        <f>10056</f>
        <v>10056</v>
      </c>
      <c r="DJ6">
        <f>10130</f>
        <v>10130</v>
      </c>
      <c r="DK6">
        <f>10943</f>
        <v>10943</v>
      </c>
      <c r="DL6">
        <f>11349</f>
        <v>11349</v>
      </c>
      <c r="DM6">
        <f>10126</f>
        <v>10126</v>
      </c>
      <c r="DN6">
        <f>11483</f>
        <v>11483</v>
      </c>
      <c r="DO6">
        <f>12866</f>
        <v>12866</v>
      </c>
      <c r="DP6">
        <f>14910</f>
        <v>14910</v>
      </c>
      <c r="DQ6">
        <f>15484</f>
        <v>15484</v>
      </c>
      <c r="DR6">
        <f>29107</f>
        <v>29107</v>
      </c>
      <c r="DS6">
        <f>30107</f>
        <v>30107</v>
      </c>
      <c r="DT6">
        <f>31283</f>
        <v>31283</v>
      </c>
      <c r="DU6" t="str">
        <f>""</f>
        <v/>
      </c>
    </row>
    <row r="7" spans="1:125" x14ac:dyDescent="0.25">
      <c r="A7" t="str">
        <f>"                Citizens Financial Group Inc"</f>
        <v xml:space="preserve">                Citizens Financial Group Inc</v>
      </c>
      <c r="B7" t="str">
        <f>"CFG US Equity"</f>
        <v>CFG US Equity</v>
      </c>
      <c r="C7" t="str">
        <f t="shared" si="0"/>
        <v>FC470</v>
      </c>
      <c r="D7" t="str">
        <f t="shared" si="1"/>
        <v>FDIC_SECS_HELD_TO_MTY_BOOK_VAL</v>
      </c>
      <c r="E7" t="str">
        <f t="shared" si="2"/>
        <v>Dynamic</v>
      </c>
      <c r="F7">
        <f ca="1">IF(AND(ISNUMBER($F$149),$B$145=1),$F$149,HLOOKUP(INDIRECT(ADDRESS(2,COLUMN())),OFFSET($BN$2,0,0,ROW()-1,60),ROW()-1,FALSE))</f>
        <v>8598.5079999999998</v>
      </c>
      <c r="G7">
        <f ca="1">IF(AND(ISNUMBER($G$149),$B$145=1),$G$149,HLOOKUP(INDIRECT(ADDRESS(2,COLUMN())),OFFSET($BN$2,0,0,ROW()-1,60),ROW()-1,FALSE))</f>
        <v>8737.6039999999994</v>
      </c>
      <c r="H7">
        <f ca="1">IF(AND(ISNUMBER($H$149),$B$145=1),$H$149,HLOOKUP(INDIRECT(ADDRESS(2,COLUMN())),OFFSET($BN$2,0,0,ROW()-1,60),ROW()-1,FALSE))</f>
        <v>8894.759</v>
      </c>
      <c r="I7">
        <f ca="1">IF(AND(ISNUMBER($I$149),$B$145=1),$I$149,HLOOKUP(INDIRECT(ADDRESS(2,COLUMN())),OFFSET($BN$2,0,0,ROW()-1,60),ROW()-1,FALSE))</f>
        <v>9054.0640000000003</v>
      </c>
      <c r="J7">
        <f ca="1">IF(AND(ISNUMBER($J$149),$B$145=1),$J$149,HLOOKUP(INDIRECT(ADDRESS(2,COLUMN())),OFFSET($BN$2,0,0,ROW()-1,60),ROW()-1,FALSE))</f>
        <v>9184.3119999999999</v>
      </c>
      <c r="K7">
        <f ca="1">IF(AND(ISNUMBER($K$149),$B$145=1),$K$149,HLOOKUP(INDIRECT(ADDRESS(2,COLUMN())),OFFSET($BN$2,0,0,ROW()-1,60),ROW()-1,FALSE))</f>
        <v>9319.51</v>
      </c>
      <c r="L7">
        <f ca="1">IF(AND(ISNUMBER($L$149),$B$145=1),$L$149,HLOOKUP(INDIRECT(ADDRESS(2,COLUMN())),OFFSET($BN$2,0,0,ROW()-1,60),ROW()-1,FALSE))</f>
        <v>9520.0259999999998</v>
      </c>
      <c r="M7">
        <f ca="1">IF(AND(ISNUMBER($M$149),$B$145=1),$M$149,HLOOKUP(INDIRECT(ADDRESS(2,COLUMN())),OFFSET($BN$2,0,0,ROW()-1,60),ROW()-1,FALSE))</f>
        <v>9676.8819999999996</v>
      </c>
      <c r="N7">
        <f ca="1">IF(AND(ISNUMBER($N$149),$B$145=1),$N$149,HLOOKUP(INDIRECT(ADDRESS(2,COLUMN())),OFFSET($BN$2,0,0,ROW()-1,60),ROW()-1,FALSE))</f>
        <v>9834.49</v>
      </c>
      <c r="O7">
        <f ca="1">IF(AND(ISNUMBER($O$149),$B$145=1),$O$149,HLOOKUP(INDIRECT(ADDRESS(2,COLUMN())),OFFSET($BN$2,0,0,ROW()-1,60),ROW()-1,FALSE))</f>
        <v>10070.532999999999</v>
      </c>
      <c r="P7">
        <f ca="1">IF(AND(ISNUMBER($P$149),$B$145=1),$P$149,HLOOKUP(INDIRECT(ADDRESS(2,COLUMN())),OFFSET($BN$2,0,0,ROW()-1,60),ROW()-1,FALSE))</f>
        <v>9567.277</v>
      </c>
      <c r="Q7">
        <f ca="1">IF(AND(ISNUMBER($Q$149),$B$145=1),$Q$149,HLOOKUP(INDIRECT(ADDRESS(2,COLUMN())),OFFSET($BN$2,0,0,ROW()-1,60),ROW()-1,FALSE))</f>
        <v>2055.547</v>
      </c>
      <c r="R7">
        <f ca="1">IF(AND(ISNUMBER($R$149),$B$145=1),$R$149,HLOOKUP(INDIRECT(ADDRESS(2,COLUMN())),OFFSET($BN$2,0,0,ROW()-1,60),ROW()-1,FALSE))</f>
        <v>2242.3009999999999</v>
      </c>
      <c r="S7">
        <f ca="1">IF(AND(ISNUMBER($S$149),$B$145=1),$S$149,HLOOKUP(INDIRECT(ADDRESS(2,COLUMN())),OFFSET($BN$2,0,0,ROW()-1,60),ROW()-1,FALSE))</f>
        <v>2491.9160000000002</v>
      </c>
      <c r="T7">
        <f ca="1">IF(AND(ISNUMBER($T$149),$B$145=1),$T$149,HLOOKUP(INDIRECT(ADDRESS(2,COLUMN())),OFFSET($BN$2,0,0,ROW()-1,60),ROW()-1,FALSE))</f>
        <v>2710.9969999999998</v>
      </c>
      <c r="U7">
        <f ca="1">IF(AND(ISNUMBER($U$149),$B$145=1),$U$149,HLOOKUP(INDIRECT(ADDRESS(2,COLUMN())),OFFSET($BN$2,0,0,ROW()-1,60),ROW()-1,FALSE))</f>
        <v>2994.7109999999998</v>
      </c>
      <c r="V7">
        <f ca="1">IF(AND(ISNUMBER($V$149),$B$145=1),$V$149,HLOOKUP(INDIRECT(ADDRESS(2,COLUMN())),OFFSET($BN$2,0,0,ROW()-1,60),ROW()-1,FALSE))</f>
        <v>3234.5509999999999</v>
      </c>
      <c r="W7">
        <f ca="1">IF(AND(ISNUMBER($W$149),$B$145=1),$W$149,HLOOKUP(INDIRECT(ADDRESS(2,COLUMN())),OFFSET($BN$2,0,0,ROW()-1,60),ROW()-1,FALSE))</f>
        <v>2577.5329999999999</v>
      </c>
      <c r="X7">
        <f ca="1">IF(AND(ISNUMBER($X$149),$B$145=1),$X$149,HLOOKUP(INDIRECT(ADDRESS(2,COLUMN())),OFFSET($BN$2,0,0,ROW()-1,60),ROW()-1,FALSE))</f>
        <v>2855.502</v>
      </c>
      <c r="Y7">
        <f ca="1">IF(AND(ISNUMBER($Y$149),$B$145=1),$Y$149,HLOOKUP(INDIRECT(ADDRESS(2,COLUMN())),OFFSET($BN$2,0,0,ROW()-1,60),ROW()-1,FALSE))</f>
        <v>3071.431</v>
      </c>
      <c r="Z7">
        <f ca="1">IF(AND(ISNUMBER($Z$149),$B$145=1),$Z$149,HLOOKUP(INDIRECT(ADDRESS(2,COLUMN())),OFFSET($BN$2,0,0,ROW()-1,60),ROW()-1,FALSE))</f>
        <v>3201.7179999999998</v>
      </c>
      <c r="AA7">
        <f ca="1">IF(AND(ISNUMBER($AA$149),$B$145=1),$AA$149,HLOOKUP(INDIRECT(ADDRESS(2,COLUMN())),OFFSET($BN$2,0,0,ROW()-1,60),ROW()-1,FALSE))</f>
        <v>3319.1959999999999</v>
      </c>
      <c r="AB7">
        <f ca="1">IF(AND(ISNUMBER($AB$149),$B$145=1),$AB$149,HLOOKUP(INDIRECT(ADDRESS(2,COLUMN())),OFFSET($BN$2,0,0,ROW()-1,60),ROW()-1,FALSE))</f>
        <v>3446.67</v>
      </c>
      <c r="AC7">
        <f ca="1">IF(AND(ISNUMBER($AC$149),$B$145=1),$AC$149,HLOOKUP(INDIRECT(ADDRESS(2,COLUMN())),OFFSET($BN$2,0,0,ROW()-1,60),ROW()-1,FALSE))</f>
        <v>3345.471</v>
      </c>
      <c r="AD7">
        <f ca="1">IF(AND(ISNUMBER($AD$149),$B$145=1),$AD$149,HLOOKUP(INDIRECT(ADDRESS(2,COLUMN())),OFFSET($BN$2,0,0,ROW()-1,60),ROW()-1,FALSE))</f>
        <v>4164.9440000000004</v>
      </c>
      <c r="AE7">
        <f ca="1">IF(AND(ISNUMBER($AE$149),$B$145=1),$AE$149,HLOOKUP(INDIRECT(ADDRESS(2,COLUMN())),OFFSET($BN$2,0,0,ROW()-1,60),ROW()-1,FALSE))</f>
        <v>4283.9530000000004</v>
      </c>
      <c r="AF7">
        <f ca="1">IF(AND(ISNUMBER($AF$149),$B$145=1),$AF$149,HLOOKUP(INDIRECT(ADDRESS(2,COLUMN())),OFFSET($BN$2,0,0,ROW()-1,60),ROW()-1,FALSE))</f>
        <v>4416.9489999999996</v>
      </c>
      <c r="AG7">
        <f ca="1">IF(AND(ISNUMBER($AG$149),$B$145=1),$AG$149,HLOOKUP(INDIRECT(ADDRESS(2,COLUMN())),OFFSET($BN$2,0,0,ROW()-1,60),ROW()-1,FALSE))</f>
        <v>4555.42</v>
      </c>
      <c r="AH7">
        <f ca="1">IF(AND(ISNUMBER($AH$149),$B$145=1),$AH$149,HLOOKUP(INDIRECT(ADDRESS(2,COLUMN())),OFFSET($BN$2,0,0,ROW()-1,60),ROW()-1,FALSE))</f>
        <v>4684.991</v>
      </c>
      <c r="AI7">
        <f ca="1">IF(AND(ISNUMBER($AI$149),$B$145=1),$AI$149,HLOOKUP(INDIRECT(ADDRESS(2,COLUMN())),OFFSET($BN$2,0,0,ROW()-1,60),ROW()-1,FALSE))</f>
        <v>4822.9790000000003</v>
      </c>
      <c r="AJ7">
        <f ca="1">IF(AND(ISNUMBER($AJ$149),$B$145=1),$AJ$149,HLOOKUP(INDIRECT(ADDRESS(2,COLUMN())),OFFSET($BN$2,0,0,ROW()-1,60),ROW()-1,FALSE))</f>
        <v>4966.8389999999999</v>
      </c>
      <c r="AK7">
        <f ca="1">IF(AND(ISNUMBER($AK$149),$B$145=1),$AK$149,HLOOKUP(INDIRECT(ADDRESS(2,COLUMN())),OFFSET($BN$2,0,0,ROW()-1,60),ROW()-1,FALSE))</f>
        <v>4991.6279999999997</v>
      </c>
      <c r="AL7">
        <f ca="1">IF(AND(ISNUMBER($AL$149),$B$145=1),$AL$149,HLOOKUP(INDIRECT(ADDRESS(2,COLUMN())),OFFSET($BN$2,0,0,ROW()-1,60),ROW()-1,FALSE))</f>
        <v>5070.8689999999997</v>
      </c>
      <c r="AM7">
        <f ca="1">IF(AND(ISNUMBER($AM$149),$B$145=1),$AM$149,HLOOKUP(INDIRECT(ADDRESS(2,COLUMN())),OFFSET($BN$2,0,0,ROW()-1,60),ROW()-1,FALSE))</f>
        <v>5288.84</v>
      </c>
      <c r="AN7">
        <f ca="1">IF(AND(ISNUMBER($AN$149),$B$145=1),$AN$149,HLOOKUP(INDIRECT(ADDRESS(2,COLUMN())),OFFSET($BN$2,0,0,ROW()-1,60),ROW()-1,FALSE))</f>
        <v>4972.8379999999997</v>
      </c>
      <c r="AO7">
        <f ca="1">IF(AND(ISNUMBER($AO$149),$B$145=1),$AO$149,HLOOKUP(INDIRECT(ADDRESS(2,COLUMN())),OFFSET($BN$2,0,0,ROW()-1,60),ROW()-1,FALSE))</f>
        <v>5128.9930000000004</v>
      </c>
      <c r="AP7">
        <f ca="1">IF(AND(ISNUMBER($AP$149),$B$145=1),$AP$149,HLOOKUP(INDIRECT(ADDRESS(2,COLUMN())),OFFSET($BN$2,0,0,ROW()-1,60),ROW()-1,FALSE))</f>
        <v>5257.9260000000004</v>
      </c>
      <c r="AQ7">
        <f ca="1">IF(AND(ISNUMBER($AQ$149),$B$145=1),$AQ$149,HLOOKUP(INDIRECT(ADDRESS(2,COLUMN())),OFFSET($BN$2,0,0,ROW()-1,60),ROW()-1,FALSE))</f>
        <v>5284.8059999999996</v>
      </c>
      <c r="AR7">
        <f ca="1">IF(AND(ISNUMBER($AR$149),$B$145=1),$AR$149,HLOOKUP(INDIRECT(ADDRESS(2,COLUMN())),OFFSET($BN$2,0,0,ROW()-1,60),ROW()-1,FALSE))</f>
        <v>5567.3630000000003</v>
      </c>
      <c r="AS7">
        <f ca="1">IF(AND(ISNUMBER($AS$149),$B$145=1),$AS$149,HLOOKUP(INDIRECT(ADDRESS(2,COLUMN())),OFFSET($BN$2,0,0,ROW()-1,60),ROW()-1,FALSE))</f>
        <v>5177.6180000000004</v>
      </c>
      <c r="AT7">
        <f ca="1">IF(AND(ISNUMBER($AT$149),$B$145=1),$AT$149,HLOOKUP(INDIRECT(ADDRESS(2,COLUMN())),OFFSET($BN$2,0,0,ROW()-1,60),ROW()-1,FALSE))</f>
        <v>5148.12</v>
      </c>
      <c r="AU7">
        <f ca="1">IF(AND(ISNUMBER($AU$149),$B$145=1),$AU$149,HLOOKUP(INDIRECT(ADDRESS(2,COLUMN())),OFFSET($BN$2,0,0,ROW()-1,60),ROW()-1,FALSE))</f>
        <v>5289.0339999999997</v>
      </c>
      <c r="AV7">
        <f ca="1">IF(AND(ISNUMBER($AV$149),$B$145=1),$AV$149,HLOOKUP(INDIRECT(ADDRESS(2,COLUMN())),OFFSET($BN$2,0,0,ROW()-1,60),ROW()-1,FALSE))</f>
        <v>5381.5309999999999</v>
      </c>
      <c r="AW7">
        <f ca="1">IF(AND(ISNUMBER($AW$149),$B$145=1),$AW$149,HLOOKUP(INDIRECT(ADDRESS(2,COLUMN())),OFFSET($BN$2,0,0,ROW()-1,60),ROW()-1,FALSE))</f>
        <v>5456.8109999999997</v>
      </c>
      <c r="AX7">
        <f ca="1">IF(AND(ISNUMBER($AX$149),$B$145=1),$AX$149,HLOOKUP(INDIRECT(ADDRESS(2,COLUMN())),OFFSET($BN$2,0,0,ROW()-1,60),ROW()-1,FALSE))</f>
        <v>4315.4070000000002</v>
      </c>
      <c r="AY7">
        <f ca="1">IF(AND(ISNUMBER($AY$149),$B$145=1),$AY$149,HLOOKUP(INDIRECT(ADDRESS(2,COLUMN())),OFFSET($BN$2,0,0,ROW()-1,60),ROW()-1,FALSE))</f>
        <v>0</v>
      </c>
      <c r="AZ7">
        <f ca="1">IF(AND(ISNUMBER($AZ$149),$B$145=1),$AZ$149,HLOOKUP(INDIRECT(ADDRESS(2,COLUMN())),OFFSET($BN$2,0,0,ROW()-1,60),ROW()-1,FALSE))</f>
        <v>0</v>
      </c>
      <c r="BA7">
        <f ca="1">IF(AND(ISNUMBER($BA$149),$B$145=1),$BA$149,HLOOKUP(INDIRECT(ADDRESS(2,COLUMN())),OFFSET($BN$2,0,0,ROW()-1,60),ROW()-1,FALSE))</f>
        <v>0</v>
      </c>
      <c r="BB7">
        <f ca="1">IF(AND(ISNUMBER($BB$149),$B$145=1),$BB$149,HLOOKUP(INDIRECT(ADDRESS(2,COLUMN())),OFFSET($BN$2,0,0,ROW()-1,60),ROW()-1,FALSE))</f>
        <v>0</v>
      </c>
      <c r="BC7">
        <f ca="1">IF(AND(ISNUMBER($BC$149),$B$145=1),$BC$149,HLOOKUP(INDIRECT(ADDRESS(2,COLUMN())),OFFSET($BN$2,0,0,ROW()-1,60),ROW()-1,FALSE))</f>
        <v>0</v>
      </c>
      <c r="BD7">
        <f ca="1">IF(AND(ISNUMBER($BD$149),$B$145=1),$BD$149,HLOOKUP(INDIRECT(ADDRESS(2,COLUMN())),OFFSET($BN$2,0,0,ROW()-1,60),ROW()-1,FALSE))</f>
        <v>0</v>
      </c>
      <c r="BE7">
        <f ca="1">IF(AND(ISNUMBER($BE$149),$B$145=1),$BE$149,HLOOKUP(INDIRECT(ADDRESS(2,COLUMN())),OFFSET($BN$2,0,0,ROW()-1,60),ROW()-1,FALSE))</f>
        <v>0</v>
      </c>
      <c r="BF7">
        <f ca="1">IF(AND(ISNUMBER($BF$149),$B$145=1),$BF$149,HLOOKUP(INDIRECT(ADDRESS(2,COLUMN())),OFFSET($BN$2,0,0,ROW()-1,60),ROW()-1,FALSE))</f>
        <v>0</v>
      </c>
      <c r="BG7">
        <f ca="1">IF(AND(ISNUMBER($BG$149),$B$145=1),$BG$149,HLOOKUP(INDIRECT(ADDRESS(2,COLUMN())),OFFSET($BN$2,0,0,ROW()-1,60),ROW()-1,FALSE))</f>
        <v>0</v>
      </c>
      <c r="BH7">
        <f ca="1">IF(AND(ISNUMBER($BH$149),$B$145=1),$BH$149,HLOOKUP(INDIRECT(ADDRESS(2,COLUMN())),OFFSET($BN$2,0,0,ROW()-1,60),ROW()-1,FALSE))</f>
        <v>0</v>
      </c>
      <c r="BI7">
        <f ca="1">IF(AND(ISNUMBER($BI$149),$B$145=1),$BI$149,HLOOKUP(INDIRECT(ADDRESS(2,COLUMN())),OFFSET($BN$2,0,0,ROW()-1,60),ROW()-1,FALSE))</f>
        <v>0</v>
      </c>
      <c r="BJ7">
        <f ca="1">IF(AND(ISNUMBER($BJ$149),$B$145=1),$BJ$149,HLOOKUP(INDIRECT(ADDRESS(2,COLUMN())),OFFSET($BN$2,0,0,ROW()-1,60),ROW()-1,FALSE))</f>
        <v>0</v>
      </c>
      <c r="BK7">
        <f ca="1">IF(AND(ISNUMBER($BK$149),$B$145=1),$BK$149,HLOOKUP(INDIRECT(ADDRESS(2,COLUMN())),OFFSET($BN$2,0,0,ROW()-1,60),ROW()-1,FALSE))</f>
        <v>0</v>
      </c>
      <c r="BL7">
        <f ca="1">IF(AND(ISNUMBER($BL$149),$B$145=1),$BL$149,HLOOKUP(INDIRECT(ADDRESS(2,COLUMN())),OFFSET($BN$2,0,0,ROW()-1,60),ROW()-1,FALSE))</f>
        <v>0</v>
      </c>
      <c r="BM7" t="str">
        <f ca="1">IF(AND(ISNUMBER($BM$149),$B$145=1),$BM$149,HLOOKUP(INDIRECT(ADDRESS(2,COLUMN())),OFFSET($BN$2,0,0,ROW()-1,60),ROW()-1,FALSE))</f>
        <v/>
      </c>
      <c r="BN7">
        <f>8598.508</f>
        <v>8598.5079999999998</v>
      </c>
      <c r="BO7">
        <f>8737.604</f>
        <v>8737.6039999999994</v>
      </c>
      <c r="BP7">
        <f>8894.759</f>
        <v>8894.759</v>
      </c>
      <c r="BQ7">
        <f>9054.064</f>
        <v>9054.0640000000003</v>
      </c>
      <c r="BR7">
        <f>9184.312</f>
        <v>9184.3119999999999</v>
      </c>
      <c r="BS7">
        <f>9319.51</f>
        <v>9319.51</v>
      </c>
      <c r="BT7">
        <f>9520.026</f>
        <v>9520.0259999999998</v>
      </c>
      <c r="BU7">
        <f>9676.882</f>
        <v>9676.8819999999996</v>
      </c>
      <c r="BV7">
        <f>9834.49</f>
        <v>9834.49</v>
      </c>
      <c r="BW7">
        <f>10070.533</f>
        <v>10070.532999999999</v>
      </c>
      <c r="BX7">
        <f>9567.277</f>
        <v>9567.277</v>
      </c>
      <c r="BY7">
        <f>2055.547</f>
        <v>2055.547</v>
      </c>
      <c r="BZ7">
        <f>2242.301</f>
        <v>2242.3009999999999</v>
      </c>
      <c r="CA7">
        <f>2491.916</f>
        <v>2491.9160000000002</v>
      </c>
      <c r="CB7">
        <f>2710.997</f>
        <v>2710.9969999999998</v>
      </c>
      <c r="CC7">
        <f>2994.711</f>
        <v>2994.7109999999998</v>
      </c>
      <c r="CD7">
        <f>3234.551</f>
        <v>3234.5509999999999</v>
      </c>
      <c r="CE7">
        <f>2577.533</f>
        <v>2577.5329999999999</v>
      </c>
      <c r="CF7">
        <f>2855.502</f>
        <v>2855.502</v>
      </c>
      <c r="CG7">
        <f>3071.431</f>
        <v>3071.431</v>
      </c>
      <c r="CH7">
        <f>3201.718</f>
        <v>3201.7179999999998</v>
      </c>
      <c r="CI7">
        <f>3319.196</f>
        <v>3319.1959999999999</v>
      </c>
      <c r="CJ7">
        <f>3446.67</f>
        <v>3446.67</v>
      </c>
      <c r="CK7">
        <f>3345.471</f>
        <v>3345.471</v>
      </c>
      <c r="CL7">
        <f>4164.944</f>
        <v>4164.9440000000004</v>
      </c>
      <c r="CM7">
        <f>4283.953</f>
        <v>4283.9530000000004</v>
      </c>
      <c r="CN7">
        <f>4416.949</f>
        <v>4416.9489999999996</v>
      </c>
      <c r="CO7">
        <f>4555.42</f>
        <v>4555.42</v>
      </c>
      <c r="CP7">
        <f>4684.991</f>
        <v>4684.991</v>
      </c>
      <c r="CQ7">
        <f>4822.979</f>
        <v>4822.9790000000003</v>
      </c>
      <c r="CR7">
        <f>4966.839</f>
        <v>4966.8389999999999</v>
      </c>
      <c r="CS7">
        <f>4991.628</f>
        <v>4991.6279999999997</v>
      </c>
      <c r="CT7">
        <f>5070.869</f>
        <v>5070.8689999999997</v>
      </c>
      <c r="CU7">
        <f>5288.84</f>
        <v>5288.84</v>
      </c>
      <c r="CV7">
        <f>4972.838</f>
        <v>4972.8379999999997</v>
      </c>
      <c r="CW7">
        <f>5128.993</f>
        <v>5128.9930000000004</v>
      </c>
      <c r="CX7">
        <f>5257.926</f>
        <v>5257.9260000000004</v>
      </c>
      <c r="CY7">
        <f>5284.806</f>
        <v>5284.8059999999996</v>
      </c>
      <c r="CZ7">
        <f>5567.363</f>
        <v>5567.3630000000003</v>
      </c>
      <c r="DA7">
        <f>5177.618</f>
        <v>5177.6180000000004</v>
      </c>
      <c r="DB7">
        <f>5148.12</f>
        <v>5148.12</v>
      </c>
      <c r="DC7">
        <f>5289.034</f>
        <v>5289.0339999999997</v>
      </c>
      <c r="DD7">
        <f>5381.531</f>
        <v>5381.5309999999999</v>
      </c>
      <c r="DE7">
        <f>5456.811</f>
        <v>5456.8109999999997</v>
      </c>
      <c r="DF7">
        <f>4315.407</f>
        <v>4315.4070000000002</v>
      </c>
      <c r="DG7">
        <f>0</f>
        <v>0</v>
      </c>
      <c r="DH7">
        <f>0</f>
        <v>0</v>
      </c>
      <c r="DI7">
        <f>0</f>
        <v>0</v>
      </c>
      <c r="DJ7">
        <f>0</f>
        <v>0</v>
      </c>
      <c r="DK7">
        <f>0</f>
        <v>0</v>
      </c>
      <c r="DL7">
        <f>0</f>
        <v>0</v>
      </c>
      <c r="DM7">
        <f>0</f>
        <v>0</v>
      </c>
      <c r="DN7">
        <f>0</f>
        <v>0</v>
      </c>
      <c r="DO7">
        <f>0</f>
        <v>0</v>
      </c>
      <c r="DP7">
        <f>0</f>
        <v>0</v>
      </c>
      <c r="DQ7">
        <f>0</f>
        <v>0</v>
      </c>
      <c r="DR7">
        <f>0</f>
        <v>0</v>
      </c>
      <c r="DS7">
        <f>0</f>
        <v>0</v>
      </c>
      <c r="DT7">
        <f>0</f>
        <v>0</v>
      </c>
      <c r="DU7" t="str">
        <f>""</f>
        <v/>
      </c>
    </row>
    <row r="8" spans="1:125" x14ac:dyDescent="0.25">
      <c r="A8" t="str">
        <f>"                Capital One Financial Corp"</f>
        <v xml:space="preserve">                Capital One Financial Corp</v>
      </c>
      <c r="B8" t="str">
        <f>"COF US Equity"</f>
        <v>COF US Equity</v>
      </c>
      <c r="C8" t="str">
        <f t="shared" si="0"/>
        <v>FC470</v>
      </c>
      <c r="D8" t="str">
        <f t="shared" si="1"/>
        <v>FDIC_SECS_HELD_TO_MTY_BOOK_VAL</v>
      </c>
      <c r="E8" t="str">
        <f t="shared" si="2"/>
        <v>Dynamic</v>
      </c>
      <c r="F8">
        <f ca="1">IF(AND(ISNUMBER($F$150),$B$145=1),$F$150,HLOOKUP(INDIRECT(ADDRESS(2,COLUMN())),OFFSET($BN$2,0,0,ROW()-1,60),ROW()-1,FALSE))</f>
        <v>0</v>
      </c>
      <c r="G8">
        <f ca="1">IF(AND(ISNUMBER($G$150),$B$145=1),$G$150,HLOOKUP(INDIRECT(ADDRESS(2,COLUMN())),OFFSET($BN$2,0,0,ROW()-1,60),ROW()-1,FALSE))</f>
        <v>0</v>
      </c>
      <c r="H8">
        <f ca="1">IF(AND(ISNUMBER($H$150),$B$145=1),$H$150,HLOOKUP(INDIRECT(ADDRESS(2,COLUMN())),OFFSET($BN$2,0,0,ROW()-1,60),ROW()-1,FALSE))</f>
        <v>0</v>
      </c>
      <c r="I8">
        <f ca="1">IF(AND(ISNUMBER($I$150),$B$145=1),$I$150,HLOOKUP(INDIRECT(ADDRESS(2,COLUMN())),OFFSET($BN$2,0,0,ROW()-1,60),ROW()-1,FALSE))</f>
        <v>0</v>
      </c>
      <c r="J8">
        <f ca="1">IF(AND(ISNUMBER($J$150),$B$145=1),$J$150,HLOOKUP(INDIRECT(ADDRESS(2,COLUMN())),OFFSET($BN$2,0,0,ROW()-1,60),ROW()-1,FALSE))</f>
        <v>0</v>
      </c>
      <c r="K8">
        <f ca="1">IF(AND(ISNUMBER($K$150),$B$145=1),$K$150,HLOOKUP(INDIRECT(ADDRESS(2,COLUMN())),OFFSET($BN$2,0,0,ROW()-1,60),ROW()-1,FALSE))</f>
        <v>0</v>
      </c>
      <c r="L8">
        <f ca="1">IF(AND(ISNUMBER($L$150),$B$145=1),$L$150,HLOOKUP(INDIRECT(ADDRESS(2,COLUMN())),OFFSET($BN$2,0,0,ROW()-1,60),ROW()-1,FALSE))</f>
        <v>0</v>
      </c>
      <c r="M8">
        <f ca="1">IF(AND(ISNUMBER($M$150),$B$145=1),$M$150,HLOOKUP(INDIRECT(ADDRESS(2,COLUMN())),OFFSET($BN$2,0,0,ROW()-1,60),ROW()-1,FALSE))</f>
        <v>0</v>
      </c>
      <c r="N8">
        <f ca="1">IF(AND(ISNUMBER($N$150),$B$145=1),$N$150,HLOOKUP(INDIRECT(ADDRESS(2,COLUMN())),OFFSET($BN$2,0,0,ROW()-1,60),ROW()-1,FALSE))</f>
        <v>0</v>
      </c>
      <c r="O8">
        <f ca="1">IF(AND(ISNUMBER($O$150),$B$145=1),$O$150,HLOOKUP(INDIRECT(ADDRESS(2,COLUMN())),OFFSET($BN$2,0,0,ROW()-1,60),ROW()-1,FALSE))</f>
        <v>0</v>
      </c>
      <c r="P8">
        <f ca="1">IF(AND(ISNUMBER($P$150),$B$145=1),$P$150,HLOOKUP(INDIRECT(ADDRESS(2,COLUMN())),OFFSET($BN$2,0,0,ROW()-1,60),ROW()-1,FALSE))</f>
        <v>0</v>
      </c>
      <c r="Q8">
        <f ca="1">IF(AND(ISNUMBER($Q$150),$B$145=1),$Q$150,HLOOKUP(INDIRECT(ADDRESS(2,COLUMN())),OFFSET($BN$2,0,0,ROW()-1,60),ROW()-1,FALSE))</f>
        <v>0</v>
      </c>
      <c r="R8">
        <f ca="1">IF(AND(ISNUMBER($R$150),$B$145=1),$R$150,HLOOKUP(INDIRECT(ADDRESS(2,COLUMN())),OFFSET($BN$2,0,0,ROW()-1,60),ROW()-1,FALSE))</f>
        <v>0</v>
      </c>
      <c r="S8">
        <f ca="1">IF(AND(ISNUMBER($S$150),$B$145=1),$S$150,HLOOKUP(INDIRECT(ADDRESS(2,COLUMN())),OFFSET($BN$2,0,0,ROW()-1,60),ROW()-1,FALSE))</f>
        <v>0</v>
      </c>
      <c r="T8">
        <f ca="1">IF(AND(ISNUMBER($T$150),$B$145=1),$T$150,HLOOKUP(INDIRECT(ADDRESS(2,COLUMN())),OFFSET($BN$2,0,0,ROW()-1,60),ROW()-1,FALSE))</f>
        <v>0</v>
      </c>
      <c r="U8">
        <f ca="1">IF(AND(ISNUMBER($U$150),$B$145=1),$U$150,HLOOKUP(INDIRECT(ADDRESS(2,COLUMN())),OFFSET($BN$2,0,0,ROW()-1,60),ROW()-1,FALSE))</f>
        <v>0</v>
      </c>
      <c r="V8">
        <f ca="1">IF(AND(ISNUMBER($V$150),$B$145=1),$V$150,HLOOKUP(INDIRECT(ADDRESS(2,COLUMN())),OFFSET($BN$2,0,0,ROW()-1,60),ROW()-1,FALSE))</f>
        <v>0</v>
      </c>
      <c r="W8">
        <f ca="1">IF(AND(ISNUMBER($W$150),$B$145=1),$W$150,HLOOKUP(INDIRECT(ADDRESS(2,COLUMN())),OFFSET($BN$2,0,0,ROW()-1,60),ROW()-1,FALSE))</f>
        <v>0</v>
      </c>
      <c r="X8">
        <f ca="1">IF(AND(ISNUMBER($X$150),$B$145=1),$X$150,HLOOKUP(INDIRECT(ADDRESS(2,COLUMN())),OFFSET($BN$2,0,0,ROW()-1,60),ROW()-1,FALSE))</f>
        <v>0</v>
      </c>
      <c r="Y8">
        <f ca="1">IF(AND(ISNUMBER($Y$150),$B$145=1),$Y$150,HLOOKUP(INDIRECT(ADDRESS(2,COLUMN())),OFFSET($BN$2,0,0,ROW()-1,60),ROW()-1,FALSE))</f>
        <v>0</v>
      </c>
      <c r="Z8">
        <f ca="1">IF(AND(ISNUMBER($Z$150),$B$145=1),$Z$150,HLOOKUP(INDIRECT(ADDRESS(2,COLUMN())),OFFSET($BN$2,0,0,ROW()-1,60),ROW()-1,FALSE))</f>
        <v>0</v>
      </c>
      <c r="AA8">
        <f ca="1">IF(AND(ISNUMBER($AA$150),$B$145=1),$AA$150,HLOOKUP(INDIRECT(ADDRESS(2,COLUMN())),OFFSET($BN$2,0,0,ROW()-1,60),ROW()-1,FALSE))</f>
        <v>33893.53</v>
      </c>
      <c r="AB8">
        <f ca="1">IF(AND(ISNUMBER($AB$150),$B$145=1),$AB$150,HLOOKUP(INDIRECT(ADDRESS(2,COLUMN())),OFFSET($BN$2,0,0,ROW()-1,60),ROW()-1,FALSE))</f>
        <v>35475.337</v>
      </c>
      <c r="AC8">
        <f ca="1">IF(AND(ISNUMBER($AC$150),$B$145=1),$AC$150,HLOOKUP(INDIRECT(ADDRESS(2,COLUMN())),OFFSET($BN$2,0,0,ROW()-1,60),ROW()-1,FALSE))</f>
        <v>36503.048999999999</v>
      </c>
      <c r="AD8">
        <f ca="1">IF(AND(ISNUMBER($AD$150),$B$145=1),$AD$150,HLOOKUP(INDIRECT(ADDRESS(2,COLUMN())),OFFSET($BN$2,0,0,ROW()-1,60),ROW()-1,FALSE))</f>
        <v>36770.906999999999</v>
      </c>
      <c r="AE8">
        <f ca="1">IF(AND(ISNUMBER($AE$150),$B$145=1),$AE$150,HLOOKUP(INDIRECT(ADDRESS(2,COLUMN())),OFFSET($BN$2,0,0,ROW()-1,60),ROW()-1,FALSE))</f>
        <v>34631.447999999997</v>
      </c>
      <c r="AF8">
        <f ca="1">IF(AND(ISNUMBER($AF$150),$B$145=1),$AF$150,HLOOKUP(INDIRECT(ADDRESS(2,COLUMN())),OFFSET($BN$2,0,0,ROW()-1,60),ROW()-1,FALSE))</f>
        <v>33464.082999999999</v>
      </c>
      <c r="AG8">
        <f ca="1">IF(AND(ISNUMBER($AG$150),$B$145=1),$AG$150,HLOOKUP(INDIRECT(ADDRESS(2,COLUMN())),OFFSET($BN$2,0,0,ROW()-1,60),ROW()-1,FALSE))</f>
        <v>23074.534</v>
      </c>
      <c r="AH8">
        <f ca="1">IF(AND(ISNUMBER($AH$150),$B$145=1),$AH$150,HLOOKUP(INDIRECT(ADDRESS(2,COLUMN())),OFFSET($BN$2,0,0,ROW()-1,60),ROW()-1,FALSE))</f>
        <v>28983.903999999999</v>
      </c>
      <c r="AI8">
        <f ca="1">IF(AND(ISNUMBER($AI$150),$B$145=1),$AI$150,HLOOKUP(INDIRECT(ADDRESS(2,COLUMN())),OFFSET($BN$2,0,0,ROW()-1,60),ROW()-1,FALSE))</f>
        <v>28649.657999999999</v>
      </c>
      <c r="AJ8">
        <f ca="1">IF(AND(ISNUMBER($AJ$150),$B$145=1),$AJ$150,HLOOKUP(INDIRECT(ADDRESS(2,COLUMN())),OFFSET($BN$2,0,0,ROW()-1,60),ROW()-1,FALSE))</f>
        <v>27720.427</v>
      </c>
      <c r="AK8">
        <f ca="1">IF(AND(ISNUMBER($AK$150),$B$145=1),$AK$150,HLOOKUP(INDIRECT(ADDRESS(2,COLUMN())),OFFSET($BN$2,0,0,ROW()-1,60),ROW()-1,FALSE))</f>
        <v>26170.183000000001</v>
      </c>
      <c r="AL8">
        <f ca="1">IF(AND(ISNUMBER($AL$150),$B$145=1),$AL$150,HLOOKUP(INDIRECT(ADDRESS(2,COLUMN())),OFFSET($BN$2,0,0,ROW()-1,60),ROW()-1,FALSE))</f>
        <v>25712.440999999999</v>
      </c>
      <c r="AM8">
        <f ca="1">IF(AND(ISNUMBER($AM$150),$B$145=1),$AM$150,HLOOKUP(INDIRECT(ADDRESS(2,COLUMN())),OFFSET($BN$2,0,0,ROW()-1,60),ROW()-1,FALSE))</f>
        <v>25019.077000000001</v>
      </c>
      <c r="AN8">
        <f ca="1">IF(AND(ISNUMBER($AN$150),$B$145=1),$AN$150,HLOOKUP(INDIRECT(ADDRESS(2,COLUMN())),OFFSET($BN$2,0,0,ROW()-1,60),ROW()-1,FALSE))</f>
        <v>25120.429</v>
      </c>
      <c r="AO8">
        <f ca="1">IF(AND(ISNUMBER($AO$150),$B$145=1),$AO$150,HLOOKUP(INDIRECT(ADDRESS(2,COLUMN())),OFFSET($BN$2,0,0,ROW()-1,60),ROW()-1,FALSE))</f>
        <v>25079.66</v>
      </c>
      <c r="AP8">
        <f ca="1">IF(AND(ISNUMBER($AP$150),$B$145=1),$AP$150,HLOOKUP(INDIRECT(ADDRESS(2,COLUMN())),OFFSET($BN$2,0,0,ROW()-1,60),ROW()-1,FALSE))</f>
        <v>24618.880000000001</v>
      </c>
      <c r="AQ8">
        <f ca="1">IF(AND(ISNUMBER($AQ$150),$B$145=1),$AQ$150,HLOOKUP(INDIRECT(ADDRESS(2,COLUMN())),OFFSET($BN$2,0,0,ROW()-1,60),ROW()-1,FALSE))</f>
        <v>23711.21</v>
      </c>
      <c r="AR8">
        <f ca="1">IF(AND(ISNUMBER($AR$150),$B$145=1),$AR$150,HLOOKUP(INDIRECT(ADDRESS(2,COLUMN())),OFFSET($BN$2,0,0,ROW()-1,60),ROW()-1,FALSE))</f>
        <v>23667.648000000001</v>
      </c>
      <c r="AS8">
        <f ca="1">IF(AND(ISNUMBER($AS$150),$B$145=1),$AS$150,HLOOKUP(INDIRECT(ADDRESS(2,COLUMN())),OFFSET($BN$2,0,0,ROW()-1,60),ROW()-1,FALSE))</f>
        <v>23240.572</v>
      </c>
      <c r="AT8">
        <f ca="1">IF(AND(ISNUMBER($AT$150),$B$145=1),$AT$150,HLOOKUP(INDIRECT(ADDRESS(2,COLUMN())),OFFSET($BN$2,0,0,ROW()-1,60),ROW()-1,FALSE))</f>
        <v>22500.098999999998</v>
      </c>
      <c r="AU8">
        <f ca="1">IF(AND(ISNUMBER($AU$150),$B$145=1),$AU$150,HLOOKUP(INDIRECT(ADDRESS(2,COLUMN())),OFFSET($BN$2,0,0,ROW()-1,60),ROW()-1,FALSE))</f>
        <v>22182.085999999999</v>
      </c>
      <c r="AV8">
        <f ca="1">IF(AND(ISNUMBER($AV$150),$B$145=1),$AV$150,HLOOKUP(INDIRECT(ADDRESS(2,COLUMN())),OFFSET($BN$2,0,0,ROW()-1,60),ROW()-1,FALSE))</f>
        <v>20688.101999999999</v>
      </c>
      <c r="AW8">
        <f ca="1">IF(AND(ISNUMBER($AW$150),$B$145=1),$AW$150,HLOOKUP(INDIRECT(ADDRESS(2,COLUMN())),OFFSET($BN$2,0,0,ROW()-1,60),ROW()-1,FALSE))</f>
        <v>20150.04</v>
      </c>
      <c r="AX8">
        <f ca="1">IF(AND(ISNUMBER($AX$150),$B$145=1),$AX$150,HLOOKUP(INDIRECT(ADDRESS(2,COLUMN())),OFFSET($BN$2,0,0,ROW()-1,60),ROW()-1,FALSE))</f>
        <v>19131.687000000002</v>
      </c>
      <c r="AY8">
        <f ca="1">IF(AND(ISNUMBER($AY$150),$B$145=1),$AY$150,HLOOKUP(INDIRECT(ADDRESS(2,COLUMN())),OFFSET($BN$2,0,0,ROW()-1,60),ROW()-1,FALSE))</f>
        <v>18275.507000000001</v>
      </c>
      <c r="AZ8">
        <f ca="1">IF(AND(ISNUMBER($AZ$150),$B$145=1),$AZ$150,HLOOKUP(INDIRECT(ADDRESS(2,COLUMN())),OFFSET($BN$2,0,0,ROW()-1,60),ROW()-1,FALSE))</f>
        <v>0</v>
      </c>
      <c r="BA8">
        <f ca="1">IF(AND(ISNUMBER($BA$150),$B$145=1),$BA$150,HLOOKUP(INDIRECT(ADDRESS(2,COLUMN())),OFFSET($BN$2,0,0,ROW()-1,60),ROW()-1,FALSE))</f>
        <v>1.931</v>
      </c>
      <c r="BB8">
        <f ca="1">IF(AND(ISNUMBER($BB$150),$B$145=1),$BB$150,HLOOKUP(INDIRECT(ADDRESS(2,COLUMN())),OFFSET($BN$2,0,0,ROW()-1,60),ROW()-1,FALSE))</f>
        <v>8.6929999999999996</v>
      </c>
      <c r="BC8">
        <f ca="1">IF(AND(ISNUMBER($BC$150),$B$145=1),$BC$150,HLOOKUP(INDIRECT(ADDRESS(2,COLUMN())),OFFSET($BN$2,0,0,ROW()-1,60),ROW()-1,FALSE))</f>
        <v>15</v>
      </c>
      <c r="BD8">
        <f ca="1">IF(AND(ISNUMBER($BD$150),$B$145=1),$BD$150,HLOOKUP(INDIRECT(ADDRESS(2,COLUMN())),OFFSET($BN$2,0,0,ROW()-1,60),ROW()-1,FALSE))</f>
        <v>0</v>
      </c>
      <c r="BE8">
        <f ca="1">IF(AND(ISNUMBER($BE$150),$B$145=1),$BE$150,HLOOKUP(INDIRECT(ADDRESS(2,COLUMN())),OFFSET($BN$2,0,0,ROW()-1,60),ROW()-1,FALSE))</f>
        <v>0</v>
      </c>
      <c r="BF8">
        <f ca="1">IF(AND(ISNUMBER($BF$150),$B$145=1),$BF$150,HLOOKUP(INDIRECT(ADDRESS(2,COLUMN())),OFFSET($BN$2,0,0,ROW()-1,60),ROW()-1,FALSE))</f>
        <v>0</v>
      </c>
      <c r="BG8">
        <f ca="1">IF(AND(ISNUMBER($BG$150),$B$145=1),$BG$150,HLOOKUP(INDIRECT(ADDRESS(2,COLUMN())),OFFSET($BN$2,0,0,ROW()-1,60),ROW()-1,FALSE))</f>
        <v>0</v>
      </c>
      <c r="BH8">
        <f ca="1">IF(AND(ISNUMBER($BH$150),$B$145=1),$BH$150,HLOOKUP(INDIRECT(ADDRESS(2,COLUMN())),OFFSET($BN$2,0,0,ROW()-1,60),ROW()-1,FALSE))</f>
        <v>0</v>
      </c>
      <c r="BI8">
        <f ca="1">IF(AND(ISNUMBER($BI$150),$B$145=1),$BI$150,HLOOKUP(INDIRECT(ADDRESS(2,COLUMN())),OFFSET($BN$2,0,0,ROW()-1,60),ROW()-1,FALSE))</f>
        <v>0</v>
      </c>
      <c r="BJ8">
        <f ca="1">IF(AND(ISNUMBER($BJ$150),$B$145=1),$BJ$150,HLOOKUP(INDIRECT(ADDRESS(2,COLUMN())),OFFSET($BN$2,0,0,ROW()-1,60),ROW()-1,FALSE))</f>
        <v>0</v>
      </c>
      <c r="BK8">
        <f ca="1">IF(AND(ISNUMBER($BK$150),$B$145=1),$BK$150,HLOOKUP(INDIRECT(ADDRESS(2,COLUMN())),OFFSET($BN$2,0,0,ROW()-1,60),ROW()-1,FALSE))</f>
        <v>0</v>
      </c>
      <c r="BL8">
        <f ca="1">IF(AND(ISNUMBER($BL$150),$B$145=1),$BL$150,HLOOKUP(INDIRECT(ADDRESS(2,COLUMN())),OFFSET($BN$2,0,0,ROW()-1,60),ROW()-1,FALSE))</f>
        <v>0</v>
      </c>
      <c r="BM8" t="str">
        <f ca="1">IF(AND(ISNUMBER($BM$150),$B$145=1),$BM$150,HLOOKUP(INDIRECT(ADDRESS(2,COLUMN())),OFFSET($BN$2,0,0,ROW()-1,60),ROW()-1,FALSE))</f>
        <v/>
      </c>
      <c r="BN8">
        <f>0</f>
        <v>0</v>
      </c>
      <c r="BO8">
        <f>0</f>
        <v>0</v>
      </c>
      <c r="BP8">
        <f>0</f>
        <v>0</v>
      </c>
      <c r="BQ8">
        <f>0</f>
        <v>0</v>
      </c>
      <c r="BR8">
        <f>0</f>
        <v>0</v>
      </c>
      <c r="BS8">
        <f>0</f>
        <v>0</v>
      </c>
      <c r="BT8">
        <f>0</f>
        <v>0</v>
      </c>
      <c r="BU8">
        <f>0</f>
        <v>0</v>
      </c>
      <c r="BV8">
        <f>0</f>
        <v>0</v>
      </c>
      <c r="BW8">
        <f>0</f>
        <v>0</v>
      </c>
      <c r="BX8">
        <f>0</f>
        <v>0</v>
      </c>
      <c r="BY8">
        <f>0</f>
        <v>0</v>
      </c>
      <c r="BZ8">
        <f>0</f>
        <v>0</v>
      </c>
      <c r="CA8">
        <f>0</f>
        <v>0</v>
      </c>
      <c r="CB8">
        <f>0</f>
        <v>0</v>
      </c>
      <c r="CC8">
        <f>0</f>
        <v>0</v>
      </c>
      <c r="CD8">
        <f>0</f>
        <v>0</v>
      </c>
      <c r="CE8">
        <f>0</f>
        <v>0</v>
      </c>
      <c r="CF8">
        <f>0</f>
        <v>0</v>
      </c>
      <c r="CG8">
        <f>0</f>
        <v>0</v>
      </c>
      <c r="CH8">
        <f>0</f>
        <v>0</v>
      </c>
      <c r="CI8">
        <f>33893.53</f>
        <v>33893.53</v>
      </c>
      <c r="CJ8">
        <f>35475.337</f>
        <v>35475.337</v>
      </c>
      <c r="CK8">
        <f>36503.049</f>
        <v>36503.048999999999</v>
      </c>
      <c r="CL8">
        <f>36770.907</f>
        <v>36770.906999999999</v>
      </c>
      <c r="CM8">
        <f>34631.448</f>
        <v>34631.447999999997</v>
      </c>
      <c r="CN8">
        <f>33464.083</f>
        <v>33464.082999999999</v>
      </c>
      <c r="CO8">
        <f>23074.534</f>
        <v>23074.534</v>
      </c>
      <c r="CP8">
        <f>28983.904</f>
        <v>28983.903999999999</v>
      </c>
      <c r="CQ8">
        <f>28649.658</f>
        <v>28649.657999999999</v>
      </c>
      <c r="CR8">
        <f>27720.427</f>
        <v>27720.427</v>
      </c>
      <c r="CS8">
        <f>26170.183</f>
        <v>26170.183000000001</v>
      </c>
      <c r="CT8">
        <f>25712.441</f>
        <v>25712.440999999999</v>
      </c>
      <c r="CU8">
        <f>25019.077</f>
        <v>25019.077000000001</v>
      </c>
      <c r="CV8">
        <f>25120.429</f>
        <v>25120.429</v>
      </c>
      <c r="CW8">
        <f>25079.66</f>
        <v>25079.66</v>
      </c>
      <c r="CX8">
        <f>24618.88</f>
        <v>24618.880000000001</v>
      </c>
      <c r="CY8">
        <f>23711.21</f>
        <v>23711.21</v>
      </c>
      <c r="CZ8">
        <f>23667.648</f>
        <v>23667.648000000001</v>
      </c>
      <c r="DA8">
        <f>23240.572</f>
        <v>23240.572</v>
      </c>
      <c r="DB8">
        <f>22500.099</f>
        <v>22500.098999999998</v>
      </c>
      <c r="DC8">
        <f>22182.086</f>
        <v>22182.085999999999</v>
      </c>
      <c r="DD8">
        <f>20688.102</f>
        <v>20688.101999999999</v>
      </c>
      <c r="DE8">
        <f>20150.04</f>
        <v>20150.04</v>
      </c>
      <c r="DF8">
        <f>19131.687</f>
        <v>19131.687000000002</v>
      </c>
      <c r="DG8">
        <f>18275.507</f>
        <v>18275.507000000001</v>
      </c>
      <c r="DH8">
        <f>0</f>
        <v>0</v>
      </c>
      <c r="DI8">
        <f>1.931</f>
        <v>1.931</v>
      </c>
      <c r="DJ8">
        <f>8.693</f>
        <v>8.6929999999999996</v>
      </c>
      <c r="DK8">
        <f>15</f>
        <v>15</v>
      </c>
      <c r="DL8">
        <f>0</f>
        <v>0</v>
      </c>
      <c r="DM8">
        <f>0</f>
        <v>0</v>
      </c>
      <c r="DN8">
        <f>0</f>
        <v>0</v>
      </c>
      <c r="DO8">
        <f>0</f>
        <v>0</v>
      </c>
      <c r="DP8">
        <f>0</f>
        <v>0</v>
      </c>
      <c r="DQ8">
        <f>0</f>
        <v>0</v>
      </c>
      <c r="DR8">
        <f>0</f>
        <v>0</v>
      </c>
      <c r="DS8">
        <f>0</f>
        <v>0</v>
      </c>
      <c r="DT8">
        <f>0</f>
        <v>0</v>
      </c>
      <c r="DU8" t="str">
        <f>""</f>
        <v/>
      </c>
    </row>
    <row r="9" spans="1:125" x14ac:dyDescent="0.25">
      <c r="A9" t="str">
        <f>"                Comerica Inc"</f>
        <v xml:space="preserve">                Comerica Inc</v>
      </c>
      <c r="B9" t="str">
        <f>"CMA US Equity"</f>
        <v>CMA US Equity</v>
      </c>
      <c r="C9" t="str">
        <f t="shared" si="0"/>
        <v>FC470</v>
      </c>
      <c r="D9" t="str">
        <f t="shared" si="1"/>
        <v>FDIC_SECS_HELD_TO_MTY_BOOK_VAL</v>
      </c>
      <c r="E9" t="str">
        <f t="shared" si="2"/>
        <v>Dynamic</v>
      </c>
      <c r="F9" t="str">
        <f ca="1">IF(AND(ISNUMBER($F$151),$B$145=1),$F$151,HLOOKUP(INDIRECT(ADDRESS(2,COLUMN())),OFFSET($BN$2,0,0,ROW()-1,60),ROW()-1,FALSE))</f>
        <v/>
      </c>
      <c r="G9" t="str">
        <f ca="1">IF(AND(ISNUMBER($G$151),$B$145=1),$G$151,HLOOKUP(INDIRECT(ADDRESS(2,COLUMN())),OFFSET($BN$2,0,0,ROW()-1,60),ROW()-1,FALSE))</f>
        <v/>
      </c>
      <c r="H9">
        <f ca="1">IF(AND(ISNUMBER($H$151),$B$145=1),$H$151,HLOOKUP(INDIRECT(ADDRESS(2,COLUMN())),OFFSET($BN$2,0,0,ROW()-1,60),ROW()-1,FALSE))</f>
        <v>0</v>
      </c>
      <c r="I9">
        <f ca="1">IF(AND(ISNUMBER($I$151),$B$145=1),$I$151,HLOOKUP(INDIRECT(ADDRESS(2,COLUMN())),OFFSET($BN$2,0,0,ROW()-1,60),ROW()-1,FALSE))</f>
        <v>0</v>
      </c>
      <c r="J9">
        <f ca="1">IF(AND(ISNUMBER($J$151),$B$145=1),$J$151,HLOOKUP(INDIRECT(ADDRESS(2,COLUMN())),OFFSET($BN$2,0,0,ROW()-1,60),ROW()-1,FALSE))</f>
        <v>0</v>
      </c>
      <c r="K9">
        <f ca="1">IF(AND(ISNUMBER($K$151),$B$145=1),$K$151,HLOOKUP(INDIRECT(ADDRESS(2,COLUMN())),OFFSET($BN$2,0,0,ROW()-1,60),ROW()-1,FALSE))</f>
        <v>0</v>
      </c>
      <c r="L9">
        <f ca="1">IF(AND(ISNUMBER($L$151),$B$145=1),$L$151,HLOOKUP(INDIRECT(ADDRESS(2,COLUMN())),OFFSET($BN$2,0,0,ROW()-1,60),ROW()-1,FALSE))</f>
        <v>0</v>
      </c>
      <c r="M9">
        <f ca="1">IF(AND(ISNUMBER($M$151),$B$145=1),$M$151,HLOOKUP(INDIRECT(ADDRESS(2,COLUMN())),OFFSET($BN$2,0,0,ROW()-1,60),ROW()-1,FALSE))</f>
        <v>0</v>
      </c>
      <c r="N9">
        <f ca="1">IF(AND(ISNUMBER($N$151),$B$145=1),$N$151,HLOOKUP(INDIRECT(ADDRESS(2,COLUMN())),OFFSET($BN$2,0,0,ROW()-1,60),ROW()-1,FALSE))</f>
        <v>0</v>
      </c>
      <c r="O9">
        <f ca="1">IF(AND(ISNUMBER($O$151),$B$145=1),$O$151,HLOOKUP(INDIRECT(ADDRESS(2,COLUMN())),OFFSET($BN$2,0,0,ROW()-1,60),ROW()-1,FALSE))</f>
        <v>0</v>
      </c>
      <c r="P9">
        <f ca="1">IF(AND(ISNUMBER($P$151),$B$145=1),$P$151,HLOOKUP(INDIRECT(ADDRESS(2,COLUMN())),OFFSET($BN$2,0,0,ROW()-1,60),ROW()-1,FALSE))</f>
        <v>0</v>
      </c>
      <c r="Q9">
        <f ca="1">IF(AND(ISNUMBER($Q$151),$B$145=1),$Q$151,HLOOKUP(INDIRECT(ADDRESS(2,COLUMN())),OFFSET($BN$2,0,0,ROW()-1,60),ROW()-1,FALSE))</f>
        <v>0</v>
      </c>
      <c r="R9">
        <f ca="1">IF(AND(ISNUMBER($R$151),$B$145=1),$R$151,HLOOKUP(INDIRECT(ADDRESS(2,COLUMN())),OFFSET($BN$2,0,0,ROW()-1,60),ROW()-1,FALSE))</f>
        <v>0</v>
      </c>
      <c r="S9">
        <f ca="1">IF(AND(ISNUMBER($S$151),$B$145=1),$S$151,HLOOKUP(INDIRECT(ADDRESS(2,COLUMN())),OFFSET($BN$2,0,0,ROW()-1,60),ROW()-1,FALSE))</f>
        <v>0</v>
      </c>
      <c r="T9">
        <f ca="1">IF(AND(ISNUMBER($T$151),$B$145=1),$T$151,HLOOKUP(INDIRECT(ADDRESS(2,COLUMN())),OFFSET($BN$2,0,0,ROW()-1,60),ROW()-1,FALSE))</f>
        <v>0</v>
      </c>
      <c r="U9">
        <f ca="1">IF(AND(ISNUMBER($U$151),$B$145=1),$U$151,HLOOKUP(INDIRECT(ADDRESS(2,COLUMN())),OFFSET($BN$2,0,0,ROW()-1,60),ROW()-1,FALSE))</f>
        <v>0</v>
      </c>
      <c r="V9">
        <f ca="1">IF(AND(ISNUMBER($V$151),$B$145=1),$V$151,HLOOKUP(INDIRECT(ADDRESS(2,COLUMN())),OFFSET($BN$2,0,0,ROW()-1,60),ROW()-1,FALSE))</f>
        <v>0</v>
      </c>
      <c r="W9">
        <f ca="1">IF(AND(ISNUMBER($W$151),$B$145=1),$W$151,HLOOKUP(INDIRECT(ADDRESS(2,COLUMN())),OFFSET($BN$2,0,0,ROW()-1,60),ROW()-1,FALSE))</f>
        <v>0</v>
      </c>
      <c r="X9">
        <f ca="1">IF(AND(ISNUMBER($X$151),$B$145=1),$X$151,HLOOKUP(INDIRECT(ADDRESS(2,COLUMN())),OFFSET($BN$2,0,0,ROW()-1,60),ROW()-1,FALSE))</f>
        <v>0</v>
      </c>
      <c r="Y9">
        <f ca="1">IF(AND(ISNUMBER($Y$151),$B$145=1),$Y$151,HLOOKUP(INDIRECT(ADDRESS(2,COLUMN())),OFFSET($BN$2,0,0,ROW()-1,60),ROW()-1,FALSE))</f>
        <v>0</v>
      </c>
      <c r="Z9">
        <f ca="1">IF(AND(ISNUMBER($Z$151),$B$145=1),$Z$151,HLOOKUP(INDIRECT(ADDRESS(2,COLUMN())),OFFSET($BN$2,0,0,ROW()-1,60),ROW()-1,FALSE))</f>
        <v>0</v>
      </c>
      <c r="AA9">
        <f ca="1">IF(AND(ISNUMBER($AA$151),$B$145=1),$AA$151,HLOOKUP(INDIRECT(ADDRESS(2,COLUMN())),OFFSET($BN$2,0,0,ROW()-1,60),ROW()-1,FALSE))</f>
        <v>0</v>
      </c>
      <c r="AB9">
        <f ca="1">IF(AND(ISNUMBER($AB$151),$B$145=1),$AB$151,HLOOKUP(INDIRECT(ADDRESS(2,COLUMN())),OFFSET($BN$2,0,0,ROW()-1,60),ROW()-1,FALSE))</f>
        <v>0</v>
      </c>
      <c r="AC9">
        <f ca="1">IF(AND(ISNUMBER($AC$151),$B$145=1),$AC$151,HLOOKUP(INDIRECT(ADDRESS(2,COLUMN())),OFFSET($BN$2,0,0,ROW()-1,60),ROW()-1,FALSE))</f>
        <v>0</v>
      </c>
      <c r="AD9">
        <f ca="1">IF(AND(ISNUMBER($AD$151),$B$145=1),$AD$151,HLOOKUP(INDIRECT(ADDRESS(2,COLUMN())),OFFSET($BN$2,0,0,ROW()-1,60),ROW()-1,FALSE))</f>
        <v>0.129</v>
      </c>
      <c r="AE9">
        <f ca="1">IF(AND(ISNUMBER($AE$151),$B$145=1),$AE$151,HLOOKUP(INDIRECT(ADDRESS(2,COLUMN())),OFFSET($BN$2,0,0,ROW()-1,60),ROW()-1,FALSE))</f>
        <v>0.115</v>
      </c>
      <c r="AF9">
        <f ca="1">IF(AND(ISNUMBER($AF$151),$B$145=1),$AF$151,HLOOKUP(INDIRECT(ADDRESS(2,COLUMN())),OFFSET($BN$2,0,0,ROW()-1,60),ROW()-1,FALSE))</f>
        <v>9.8000000000000004E-2</v>
      </c>
      <c r="AG9">
        <f ca="1">IF(AND(ISNUMBER($AG$151),$B$145=1),$AG$151,HLOOKUP(INDIRECT(ADDRESS(2,COLUMN())),OFFSET($BN$2,0,0,ROW()-1,60),ROW()-1,FALSE))</f>
        <v>9.4E-2</v>
      </c>
      <c r="AH9">
        <f ca="1">IF(AND(ISNUMBER($AH$151),$B$145=1),$AH$151,HLOOKUP(INDIRECT(ADDRESS(2,COLUMN())),OFFSET($BN$2,0,0,ROW()-1,60),ROW()-1,FALSE))</f>
        <v>1266.0930000000001</v>
      </c>
      <c r="AI9">
        <f ca="1">IF(AND(ISNUMBER($AI$151),$B$145=1),$AI$151,HLOOKUP(INDIRECT(ADDRESS(2,COLUMN())),OFFSET($BN$2,0,0,ROW()-1,60),ROW()-1,FALSE))</f>
        <v>1344.4369999999999</v>
      </c>
      <c r="AJ9">
        <f ca="1">IF(AND(ISNUMBER($AJ$151),$B$145=1),$AJ$151,HLOOKUP(INDIRECT(ADDRESS(2,COLUMN())),OFFSET($BN$2,0,0,ROW()-1,60),ROW()-1,FALSE))</f>
        <v>1430.3869999999999</v>
      </c>
      <c r="AK9">
        <f ca="1">IF(AND(ISNUMBER($AK$151),$B$145=1),$AK$151,HLOOKUP(INDIRECT(ADDRESS(2,COLUMN())),OFFSET($BN$2,0,0,ROW()-1,60),ROW()-1,FALSE))</f>
        <v>1508.3430000000001</v>
      </c>
      <c r="AL9">
        <f ca="1">IF(AND(ISNUMBER($AL$151),$B$145=1),$AL$151,HLOOKUP(INDIRECT(ADDRESS(2,COLUMN())),OFFSET($BN$2,0,0,ROW()-1,60),ROW()-1,FALSE))</f>
        <v>1582.482</v>
      </c>
      <c r="AM9">
        <f ca="1">IF(AND(ISNUMBER($AM$151),$B$145=1),$AM$151,HLOOKUP(INDIRECT(ADDRESS(2,COLUMN())),OFFSET($BN$2,0,0,ROW()-1,60),ROW()-1,FALSE))</f>
        <v>1694.57</v>
      </c>
      <c r="AN9">
        <f ca="1">IF(AND(ISNUMBER($AN$151),$B$145=1),$AN$151,HLOOKUP(INDIRECT(ADDRESS(2,COLUMN())),OFFSET($BN$2,0,0,ROW()-1,60),ROW()-1,FALSE))</f>
        <v>1806.72</v>
      </c>
      <c r="AO9">
        <f ca="1">IF(AND(ISNUMBER($AO$151),$B$145=1),$AO$151,HLOOKUP(INDIRECT(ADDRESS(2,COLUMN())),OFFSET($BN$2,0,0,ROW()-1,60),ROW()-1,FALSE))</f>
        <v>1907.404</v>
      </c>
      <c r="AP9">
        <f ca="1">IF(AND(ISNUMBER($AP$151),$B$145=1),$AP$151,HLOOKUP(INDIRECT(ADDRESS(2,COLUMN())),OFFSET($BN$2,0,0,ROW()-1,60),ROW()-1,FALSE))</f>
        <v>1980.778</v>
      </c>
      <c r="AQ9">
        <f ca="1">IF(AND(ISNUMBER($AQ$151),$B$145=1),$AQ$151,HLOOKUP(INDIRECT(ADDRESS(2,COLUMN())),OFFSET($BN$2,0,0,ROW()-1,60),ROW()-1,FALSE))</f>
        <v>1863.1590000000001</v>
      </c>
      <c r="AR9">
        <f ca="1">IF(AND(ISNUMBER($AR$151),$B$145=1),$AR$151,HLOOKUP(INDIRECT(ADDRESS(2,COLUMN())),OFFSET($BN$2,0,0,ROW()-1,60),ROW()-1,FALSE))</f>
        <v>1951.915</v>
      </c>
      <c r="AS9">
        <f ca="1">IF(AND(ISNUMBER($AS$151),$B$145=1),$AS$151,HLOOKUP(INDIRECT(ADDRESS(2,COLUMN())),OFFSET($BN$2,0,0,ROW()-1,60),ROW()-1,FALSE))</f>
        <v>1871.1959999999999</v>
      </c>
      <c r="AT9">
        <f ca="1">IF(AND(ISNUMBER($AT$151),$B$145=1),$AT$151,HLOOKUP(INDIRECT(ADDRESS(2,COLUMN())),OFFSET($BN$2,0,0,ROW()-1,60),ROW()-1,FALSE))</f>
        <v>1935.3140000000001</v>
      </c>
      <c r="AU9">
        <f ca="1">IF(AND(ISNUMBER($AU$151),$B$145=1),$AU$151,HLOOKUP(INDIRECT(ADDRESS(2,COLUMN())),OFFSET($BN$2,0,0,ROW()-1,60),ROW()-1,FALSE))</f>
        <v>0</v>
      </c>
      <c r="AV9">
        <f ca="1">IF(AND(ISNUMBER($AV$151),$B$145=1),$AV$151,HLOOKUP(INDIRECT(ADDRESS(2,COLUMN())),OFFSET($BN$2,0,0,ROW()-1,60),ROW()-1,FALSE))</f>
        <v>0</v>
      </c>
      <c r="AW9">
        <f ca="1">IF(AND(ISNUMBER($AW$151),$B$145=1),$AW$151,HLOOKUP(INDIRECT(ADDRESS(2,COLUMN())),OFFSET($BN$2,0,0,ROW()-1,60),ROW()-1,FALSE))</f>
        <v>0</v>
      </c>
      <c r="AX9">
        <f ca="1">IF(AND(ISNUMBER($AX$151),$B$145=1),$AX$151,HLOOKUP(INDIRECT(ADDRESS(2,COLUMN())),OFFSET($BN$2,0,0,ROW()-1,60),ROW()-1,FALSE))</f>
        <v>0</v>
      </c>
      <c r="AY9">
        <f ca="1">IF(AND(ISNUMBER($AY$151),$B$145=1),$AY$151,HLOOKUP(INDIRECT(ADDRESS(2,COLUMN())),OFFSET($BN$2,0,0,ROW()-1,60),ROW()-1,FALSE))</f>
        <v>0</v>
      </c>
      <c r="AZ9">
        <f ca="1">IF(AND(ISNUMBER($AZ$151),$B$145=1),$AZ$151,HLOOKUP(INDIRECT(ADDRESS(2,COLUMN())),OFFSET($BN$2,0,0,ROW()-1,60),ROW()-1,FALSE))</f>
        <v>0</v>
      </c>
      <c r="BA9">
        <f ca="1">IF(AND(ISNUMBER($BA$151),$B$145=1),$BA$151,HLOOKUP(INDIRECT(ADDRESS(2,COLUMN())),OFFSET($BN$2,0,0,ROW()-1,60),ROW()-1,FALSE))</f>
        <v>0</v>
      </c>
      <c r="BB9">
        <f ca="1">IF(AND(ISNUMBER($BB$151),$B$145=1),$BB$151,HLOOKUP(INDIRECT(ADDRESS(2,COLUMN())),OFFSET($BN$2,0,0,ROW()-1,60),ROW()-1,FALSE))</f>
        <v>0</v>
      </c>
      <c r="BC9">
        <f ca="1">IF(AND(ISNUMBER($BC$151),$B$145=1),$BC$151,HLOOKUP(INDIRECT(ADDRESS(2,COLUMN())),OFFSET($BN$2,0,0,ROW()-1,60),ROW()-1,FALSE))</f>
        <v>0</v>
      </c>
      <c r="BD9">
        <f ca="1">IF(AND(ISNUMBER($BD$151),$B$145=1),$BD$151,HLOOKUP(INDIRECT(ADDRESS(2,COLUMN())),OFFSET($BN$2,0,0,ROW()-1,60),ROW()-1,FALSE))</f>
        <v>0</v>
      </c>
      <c r="BE9">
        <f ca="1">IF(AND(ISNUMBER($BE$151),$B$145=1),$BE$151,HLOOKUP(INDIRECT(ADDRESS(2,COLUMN())),OFFSET($BN$2,0,0,ROW()-1,60),ROW()-1,FALSE))</f>
        <v>0</v>
      </c>
      <c r="BF9">
        <f ca="1">IF(AND(ISNUMBER($BF$151),$B$145=1),$BF$151,HLOOKUP(INDIRECT(ADDRESS(2,COLUMN())),OFFSET($BN$2,0,0,ROW()-1,60),ROW()-1,FALSE))</f>
        <v>0</v>
      </c>
      <c r="BG9">
        <f ca="1">IF(AND(ISNUMBER($BG$151),$B$145=1),$BG$151,HLOOKUP(INDIRECT(ADDRESS(2,COLUMN())),OFFSET($BN$2,0,0,ROW()-1,60),ROW()-1,FALSE))</f>
        <v>0</v>
      </c>
      <c r="BH9">
        <f ca="1">IF(AND(ISNUMBER($BH$151),$B$145=1),$BH$151,HLOOKUP(INDIRECT(ADDRESS(2,COLUMN())),OFFSET($BN$2,0,0,ROW()-1,60),ROW()-1,FALSE))</f>
        <v>0</v>
      </c>
      <c r="BI9">
        <f ca="1">IF(AND(ISNUMBER($BI$151),$B$145=1),$BI$151,HLOOKUP(INDIRECT(ADDRESS(2,COLUMN())),OFFSET($BN$2,0,0,ROW()-1,60),ROW()-1,FALSE))</f>
        <v>0</v>
      </c>
      <c r="BJ9">
        <f ca="1">IF(AND(ISNUMBER($BJ$151),$B$145=1),$BJ$151,HLOOKUP(INDIRECT(ADDRESS(2,COLUMN())),OFFSET($BN$2,0,0,ROW()-1,60),ROW()-1,FALSE))</f>
        <v>0</v>
      </c>
      <c r="BK9">
        <f ca="1">IF(AND(ISNUMBER($BK$151),$B$145=1),$BK$151,HLOOKUP(INDIRECT(ADDRESS(2,COLUMN())),OFFSET($BN$2,0,0,ROW()-1,60),ROW()-1,FALSE))</f>
        <v>0</v>
      </c>
      <c r="BL9">
        <f ca="1">IF(AND(ISNUMBER($BL$151),$B$145=1),$BL$151,HLOOKUP(INDIRECT(ADDRESS(2,COLUMN())),OFFSET($BN$2,0,0,ROW()-1,60),ROW()-1,FALSE))</f>
        <v>0</v>
      </c>
      <c r="BM9">
        <f ca="1">IF(AND(ISNUMBER($BM$151),$B$145=1),$BM$151,HLOOKUP(INDIRECT(ADDRESS(2,COLUMN())),OFFSET($BN$2,0,0,ROW()-1,60),ROW()-1,FALSE))</f>
        <v>0</v>
      </c>
      <c r="BN9" t="str">
        <f>""</f>
        <v/>
      </c>
      <c r="BO9" t="str">
        <f>""</f>
        <v/>
      </c>
      <c r="BP9">
        <f>0</f>
        <v>0</v>
      </c>
      <c r="BQ9">
        <f>0</f>
        <v>0</v>
      </c>
      <c r="BR9">
        <f>0</f>
        <v>0</v>
      </c>
      <c r="BS9">
        <f>0</f>
        <v>0</v>
      </c>
      <c r="BT9">
        <f>0</f>
        <v>0</v>
      </c>
      <c r="BU9">
        <f>0</f>
        <v>0</v>
      </c>
      <c r="BV9">
        <f>0</f>
        <v>0</v>
      </c>
      <c r="BW9">
        <f>0</f>
        <v>0</v>
      </c>
      <c r="BX9">
        <f>0</f>
        <v>0</v>
      </c>
      <c r="BY9">
        <f>0</f>
        <v>0</v>
      </c>
      <c r="BZ9">
        <f>0</f>
        <v>0</v>
      </c>
      <c r="CA9">
        <f>0</f>
        <v>0</v>
      </c>
      <c r="CB9">
        <f>0</f>
        <v>0</v>
      </c>
      <c r="CC9">
        <f>0</f>
        <v>0</v>
      </c>
      <c r="CD9">
        <f>0</f>
        <v>0</v>
      </c>
      <c r="CE9">
        <f>0</f>
        <v>0</v>
      </c>
      <c r="CF9">
        <f>0</f>
        <v>0</v>
      </c>
      <c r="CG9">
        <f>0</f>
        <v>0</v>
      </c>
      <c r="CH9">
        <f>0</f>
        <v>0</v>
      </c>
      <c r="CI9">
        <f>0</f>
        <v>0</v>
      </c>
      <c r="CJ9">
        <f>0</f>
        <v>0</v>
      </c>
      <c r="CK9">
        <f>0</f>
        <v>0</v>
      </c>
      <c r="CL9">
        <f>0.129</f>
        <v>0.129</v>
      </c>
      <c r="CM9">
        <f>0.115</f>
        <v>0.115</v>
      </c>
      <c r="CN9">
        <f>0.098</f>
        <v>9.8000000000000004E-2</v>
      </c>
      <c r="CO9">
        <f>0.094</f>
        <v>9.4E-2</v>
      </c>
      <c r="CP9">
        <f>1266.093</f>
        <v>1266.0930000000001</v>
      </c>
      <c r="CQ9">
        <f>1344.437</f>
        <v>1344.4369999999999</v>
      </c>
      <c r="CR9">
        <f>1430.387</f>
        <v>1430.3869999999999</v>
      </c>
      <c r="CS9">
        <f>1508.343</f>
        <v>1508.3430000000001</v>
      </c>
      <c r="CT9">
        <f>1582.482</f>
        <v>1582.482</v>
      </c>
      <c r="CU9">
        <f>1694.57</f>
        <v>1694.57</v>
      </c>
      <c r="CV9">
        <f>1806.72</f>
        <v>1806.72</v>
      </c>
      <c r="CW9">
        <f>1907.404</f>
        <v>1907.404</v>
      </c>
      <c r="CX9">
        <f>1980.778</f>
        <v>1980.778</v>
      </c>
      <c r="CY9">
        <f>1863.159</f>
        <v>1863.1590000000001</v>
      </c>
      <c r="CZ9">
        <f>1951.915</f>
        <v>1951.915</v>
      </c>
      <c r="DA9">
        <f>1871.196</f>
        <v>1871.1959999999999</v>
      </c>
      <c r="DB9">
        <f>1935.314</f>
        <v>1935.3140000000001</v>
      </c>
      <c r="DC9">
        <f>0</f>
        <v>0</v>
      </c>
      <c r="DD9">
        <f>0</f>
        <v>0</v>
      </c>
      <c r="DE9">
        <f>0</f>
        <v>0</v>
      </c>
      <c r="DF9">
        <f>0</f>
        <v>0</v>
      </c>
      <c r="DG9">
        <f>0</f>
        <v>0</v>
      </c>
      <c r="DH9">
        <f>0</f>
        <v>0</v>
      </c>
      <c r="DI9">
        <f>0</f>
        <v>0</v>
      </c>
      <c r="DJ9">
        <f>0</f>
        <v>0</v>
      </c>
      <c r="DK9">
        <f>0</f>
        <v>0</v>
      </c>
      <c r="DL9">
        <f>0</f>
        <v>0</v>
      </c>
      <c r="DM9">
        <f>0</f>
        <v>0</v>
      </c>
      <c r="DN9">
        <f>0</f>
        <v>0</v>
      </c>
      <c r="DO9">
        <f>0</f>
        <v>0</v>
      </c>
      <c r="DP9">
        <f>0</f>
        <v>0</v>
      </c>
      <c r="DQ9">
        <f>0</f>
        <v>0</v>
      </c>
      <c r="DR9">
        <f>0</f>
        <v>0</v>
      </c>
      <c r="DS9">
        <f>0</f>
        <v>0</v>
      </c>
      <c r="DT9">
        <f>0</f>
        <v>0</v>
      </c>
      <c r="DU9">
        <f>0</f>
        <v>0</v>
      </c>
    </row>
    <row r="10" spans="1:125" x14ac:dyDescent="0.25">
      <c r="A10" t="str">
        <f>"                East West Bancorp Inc"</f>
        <v xml:space="preserve">                East West Bancorp Inc</v>
      </c>
      <c r="B10" t="str">
        <f>"EWBC US Equity"</f>
        <v>EWBC US Equity</v>
      </c>
      <c r="C10" t="str">
        <f t="shared" si="0"/>
        <v>FC470</v>
      </c>
      <c r="D10" t="str">
        <f t="shared" si="1"/>
        <v>FDIC_SECS_HELD_TO_MTY_BOOK_VAL</v>
      </c>
      <c r="E10" t="str">
        <f t="shared" si="2"/>
        <v>Dynamic</v>
      </c>
      <c r="F10">
        <f ca="1">IF(AND(ISNUMBER($F$152),$B$145=1),$F$152,HLOOKUP(INDIRECT(ADDRESS(2,COLUMN())),OFFSET($BN$2,0,0,ROW()-1,60),ROW()-1,FALSE))</f>
        <v>2917.413</v>
      </c>
      <c r="G10">
        <f ca="1">IF(AND(ISNUMBER($G$152),$B$145=1),$G$152,HLOOKUP(INDIRECT(ADDRESS(2,COLUMN())),OFFSET($BN$2,0,0,ROW()-1,60),ROW()-1,FALSE))</f>
        <v>2928.3989999999999</v>
      </c>
      <c r="H10">
        <f ca="1">IF(AND(ISNUMBER($H$152),$B$145=1),$H$152,HLOOKUP(INDIRECT(ADDRESS(2,COLUMN())),OFFSET($BN$2,0,0,ROW()-1,60),ROW()-1,FALSE))</f>
        <v>2938.25</v>
      </c>
      <c r="I10">
        <f ca="1">IF(AND(ISNUMBER($I$152),$B$145=1),$I$152,HLOOKUP(INDIRECT(ADDRESS(2,COLUMN())),OFFSET($BN$2,0,0,ROW()-1,60),ROW()-1,FALSE))</f>
        <v>2948.6419999999998</v>
      </c>
      <c r="J10">
        <f ca="1">IF(AND(ISNUMBER($J$152),$B$145=1),$J$152,HLOOKUP(INDIRECT(ADDRESS(2,COLUMN())),OFFSET($BN$2,0,0,ROW()-1,60),ROW()-1,FALSE))</f>
        <v>2956.04</v>
      </c>
      <c r="K10">
        <f ca="1">IF(AND(ISNUMBER($K$152),$B$145=1),$K$152,HLOOKUP(INDIRECT(ADDRESS(2,COLUMN())),OFFSET($BN$2,0,0,ROW()-1,60),ROW()-1,FALSE))</f>
        <v>2964.2350000000001</v>
      </c>
      <c r="L10">
        <f ca="1">IF(AND(ISNUMBER($L$152),$B$145=1),$L$152,HLOOKUP(INDIRECT(ADDRESS(2,COLUMN())),OFFSET($BN$2,0,0,ROW()-1,60),ROW()-1,FALSE))</f>
        <v>2975.933</v>
      </c>
      <c r="M10">
        <f ca="1">IF(AND(ISNUMBER($M$152),$B$145=1),$M$152,HLOOKUP(INDIRECT(ADDRESS(2,COLUMN())),OFFSET($BN$2,0,0,ROW()-1,60),ROW()-1,FALSE))</f>
        <v>2993.4209999999998</v>
      </c>
      <c r="N10">
        <f ca="1">IF(AND(ISNUMBER($N$152),$B$145=1),$N$152,HLOOKUP(INDIRECT(ADDRESS(2,COLUMN())),OFFSET($BN$2,0,0,ROW()-1,60),ROW()-1,FALSE))</f>
        <v>3001.8679999999999</v>
      </c>
      <c r="O10">
        <f ca="1">IF(AND(ISNUMBER($O$152),$B$145=1),$O$152,HLOOKUP(INDIRECT(ADDRESS(2,COLUMN())),OFFSET($BN$2,0,0,ROW()-1,60),ROW()-1,FALSE))</f>
        <v>3012.6669999999999</v>
      </c>
      <c r="P10">
        <f ca="1">IF(AND(ISNUMBER($P$152),$B$145=1),$P$152,HLOOKUP(INDIRECT(ADDRESS(2,COLUMN())),OFFSET($BN$2,0,0,ROW()-1,60),ROW()-1,FALSE))</f>
        <v>3028.3020000000001</v>
      </c>
      <c r="Q10">
        <f ca="1">IF(AND(ISNUMBER($Q$152),$B$145=1),$Q$152,HLOOKUP(INDIRECT(ADDRESS(2,COLUMN())),OFFSET($BN$2,0,0,ROW()-1,60),ROW()-1,FALSE))</f>
        <v>2997.7020000000002</v>
      </c>
      <c r="R10">
        <f ca="1">IF(AND(ISNUMBER($R$152),$B$145=1),$R$152,HLOOKUP(INDIRECT(ADDRESS(2,COLUMN())),OFFSET($BN$2,0,0,ROW()-1,60),ROW()-1,FALSE))</f>
        <v>0</v>
      </c>
      <c r="S10">
        <f ca="1">IF(AND(ISNUMBER($S$152),$B$145=1),$S$152,HLOOKUP(INDIRECT(ADDRESS(2,COLUMN())),OFFSET($BN$2,0,0,ROW()-1,60),ROW()-1,FALSE))</f>
        <v>0</v>
      </c>
      <c r="T10">
        <f ca="1">IF(AND(ISNUMBER($T$152),$B$145=1),$T$152,HLOOKUP(INDIRECT(ADDRESS(2,COLUMN())),OFFSET($BN$2,0,0,ROW()-1,60),ROW()-1,FALSE))</f>
        <v>0</v>
      </c>
      <c r="U10">
        <f ca="1">IF(AND(ISNUMBER($U$152),$B$145=1),$U$152,HLOOKUP(INDIRECT(ADDRESS(2,COLUMN())),OFFSET($BN$2,0,0,ROW()-1,60),ROW()-1,FALSE))</f>
        <v>0</v>
      </c>
      <c r="V10">
        <f ca="1">IF(AND(ISNUMBER($V$152),$B$145=1),$V$152,HLOOKUP(INDIRECT(ADDRESS(2,COLUMN())),OFFSET($BN$2,0,0,ROW()-1,60),ROW()-1,FALSE))</f>
        <v>0</v>
      </c>
      <c r="W10">
        <f ca="1">IF(AND(ISNUMBER($W$152),$B$145=1),$W$152,HLOOKUP(INDIRECT(ADDRESS(2,COLUMN())),OFFSET($BN$2,0,0,ROW()-1,60),ROW()-1,FALSE))</f>
        <v>0</v>
      </c>
      <c r="X10">
        <f ca="1">IF(AND(ISNUMBER($X$152),$B$145=1),$X$152,HLOOKUP(INDIRECT(ADDRESS(2,COLUMN())),OFFSET($BN$2,0,0,ROW()-1,60),ROW()-1,FALSE))</f>
        <v>0</v>
      </c>
      <c r="Y10">
        <f ca="1">IF(AND(ISNUMBER($Y$152),$B$145=1),$Y$152,HLOOKUP(INDIRECT(ADDRESS(2,COLUMN())),OFFSET($BN$2,0,0,ROW()-1,60),ROW()-1,FALSE))</f>
        <v>0</v>
      </c>
      <c r="Z10">
        <f ca="1">IF(AND(ISNUMBER($Z$152),$B$145=1),$Z$152,HLOOKUP(INDIRECT(ADDRESS(2,COLUMN())),OFFSET($BN$2,0,0,ROW()-1,60),ROW()-1,FALSE))</f>
        <v>0</v>
      </c>
      <c r="AA10">
        <f ca="1">IF(AND(ISNUMBER($AA$152),$B$145=1),$AA$152,HLOOKUP(INDIRECT(ADDRESS(2,COLUMN())),OFFSET($BN$2,0,0,ROW()-1,60),ROW()-1,FALSE))</f>
        <v>0</v>
      </c>
      <c r="AB10">
        <f ca="1">IF(AND(ISNUMBER($AB$152),$B$145=1),$AB$152,HLOOKUP(INDIRECT(ADDRESS(2,COLUMN())),OFFSET($BN$2,0,0,ROW()-1,60),ROW()-1,FALSE))</f>
        <v>0</v>
      </c>
      <c r="AC10">
        <f ca="1">IF(AND(ISNUMBER($AC$152),$B$145=1),$AC$152,HLOOKUP(INDIRECT(ADDRESS(2,COLUMN())),OFFSET($BN$2,0,0,ROW()-1,60),ROW()-1,FALSE))</f>
        <v>0</v>
      </c>
      <c r="AD10">
        <f ca="1">IF(AND(ISNUMBER($AD$152),$B$145=1),$AD$152,HLOOKUP(INDIRECT(ADDRESS(2,COLUMN())),OFFSET($BN$2,0,0,ROW()-1,60),ROW()-1,FALSE))</f>
        <v>0</v>
      </c>
      <c r="AE10">
        <f ca="1">IF(AND(ISNUMBER($AE$152),$B$145=1),$AE$152,HLOOKUP(INDIRECT(ADDRESS(2,COLUMN())),OFFSET($BN$2,0,0,ROW()-1,60),ROW()-1,FALSE))</f>
        <v>0</v>
      </c>
      <c r="AF10">
        <f ca="1">IF(AND(ISNUMBER($AF$152),$B$145=1),$AF$152,HLOOKUP(INDIRECT(ADDRESS(2,COLUMN())),OFFSET($BN$2,0,0,ROW()-1,60),ROW()-1,FALSE))</f>
        <v>0</v>
      </c>
      <c r="AG10">
        <f ca="1">IF(AND(ISNUMBER($AG$152),$B$145=1),$AG$152,HLOOKUP(INDIRECT(ADDRESS(2,COLUMN())),OFFSET($BN$2,0,0,ROW()-1,60),ROW()-1,FALSE))</f>
        <v>0</v>
      </c>
      <c r="AH10">
        <f ca="1">IF(AND(ISNUMBER($AH$152),$B$145=1),$AH$152,HLOOKUP(INDIRECT(ADDRESS(2,COLUMN())),OFFSET($BN$2,0,0,ROW()-1,60),ROW()-1,FALSE))</f>
        <v>0</v>
      </c>
      <c r="AI10">
        <f ca="1">IF(AND(ISNUMBER($AI$152),$B$145=1),$AI$152,HLOOKUP(INDIRECT(ADDRESS(2,COLUMN())),OFFSET($BN$2,0,0,ROW()-1,60),ROW()-1,FALSE))</f>
        <v>0</v>
      </c>
      <c r="AJ10">
        <f ca="1">IF(AND(ISNUMBER($AJ$152),$B$145=1),$AJ$152,HLOOKUP(INDIRECT(ADDRESS(2,COLUMN())),OFFSET($BN$2,0,0,ROW()-1,60),ROW()-1,FALSE))</f>
        <v>121.131</v>
      </c>
      <c r="AK10">
        <f ca="1">IF(AND(ISNUMBER($AK$152),$B$145=1),$AK$152,HLOOKUP(INDIRECT(ADDRESS(2,COLUMN())),OFFSET($BN$2,0,0,ROW()-1,60),ROW()-1,FALSE))</f>
        <v>132.49700000000001</v>
      </c>
      <c r="AL10">
        <f ca="1">IF(AND(ISNUMBER($AL$152),$B$145=1),$AL$152,HLOOKUP(INDIRECT(ADDRESS(2,COLUMN())),OFFSET($BN$2,0,0,ROW()-1,60),ROW()-1,FALSE))</f>
        <v>143.971</v>
      </c>
      <c r="AM10">
        <f ca="1">IF(AND(ISNUMBER($AM$152),$B$145=1),$AM$152,HLOOKUP(INDIRECT(ADDRESS(2,COLUMN())),OFFSET($BN$2,0,0,ROW()-1,60),ROW()-1,FALSE))</f>
        <v>154.46100000000001</v>
      </c>
      <c r="AN10">
        <f ca="1">IF(AND(ISNUMBER($AN$152),$B$145=1),$AN$152,HLOOKUP(INDIRECT(ADDRESS(2,COLUMN())),OFFSET($BN$2,0,0,ROW()-1,60),ROW()-1,FALSE))</f>
        <v>159.208</v>
      </c>
      <c r="AO10">
        <f ca="1">IF(AND(ISNUMBER($AO$152),$B$145=1),$AO$152,HLOOKUP(INDIRECT(ADDRESS(2,COLUMN())),OFFSET($BN$2,0,0,ROW()-1,60),ROW()-1,FALSE))</f>
        <v>160.13499999999999</v>
      </c>
      <c r="AP10">
        <f ca="1">IF(AND(ISNUMBER($AP$152),$B$145=1),$AP$152,HLOOKUP(INDIRECT(ADDRESS(2,COLUMN())),OFFSET($BN$2,0,0,ROW()-1,60),ROW()-1,FALSE))</f>
        <v>0</v>
      </c>
      <c r="AQ10">
        <f ca="1">IF(AND(ISNUMBER($AQ$152),$B$145=1),$AQ$152,HLOOKUP(INDIRECT(ADDRESS(2,COLUMN())),OFFSET($BN$2,0,0,ROW()-1,60),ROW()-1,FALSE))</f>
        <v>0</v>
      </c>
      <c r="AR10">
        <f ca="1">IF(AND(ISNUMBER($AR$152),$B$145=1),$AR$152,HLOOKUP(INDIRECT(ADDRESS(2,COLUMN())),OFFSET($BN$2,0,0,ROW()-1,60),ROW()-1,FALSE))</f>
        <v>0</v>
      </c>
      <c r="AS10">
        <f ca="1">IF(AND(ISNUMBER($AS$152),$B$145=1),$AS$152,HLOOKUP(INDIRECT(ADDRESS(2,COLUMN())),OFFSET($BN$2,0,0,ROW()-1,60),ROW()-1,FALSE))</f>
        <v>0</v>
      </c>
      <c r="AT10">
        <f ca="1">IF(AND(ISNUMBER($AT$152),$B$145=1),$AT$152,HLOOKUP(INDIRECT(ADDRESS(2,COLUMN())),OFFSET($BN$2,0,0,ROW()-1,60),ROW()-1,FALSE))</f>
        <v>0</v>
      </c>
      <c r="AU10">
        <f ca="1">IF(AND(ISNUMBER($AU$152),$B$145=1),$AU$152,HLOOKUP(INDIRECT(ADDRESS(2,COLUMN())),OFFSET($BN$2,0,0,ROW()-1,60),ROW()-1,FALSE))</f>
        <v>0</v>
      </c>
      <c r="AV10">
        <f ca="1">IF(AND(ISNUMBER($AV$152),$B$145=1),$AV$152,HLOOKUP(INDIRECT(ADDRESS(2,COLUMN())),OFFSET($BN$2,0,0,ROW()-1,60),ROW()-1,FALSE))</f>
        <v>0</v>
      </c>
      <c r="AW10">
        <f ca="1">IF(AND(ISNUMBER($AW$152),$B$145=1),$AW$152,HLOOKUP(INDIRECT(ADDRESS(2,COLUMN())),OFFSET($BN$2,0,0,ROW()-1,60),ROW()-1,FALSE))</f>
        <v>0</v>
      </c>
      <c r="AX10">
        <f ca="1">IF(AND(ISNUMBER($AX$152),$B$145=1),$AX$152,HLOOKUP(INDIRECT(ADDRESS(2,COLUMN())),OFFSET($BN$2,0,0,ROW()-1,60),ROW()-1,FALSE))</f>
        <v>0</v>
      </c>
      <c r="AY10">
        <f ca="1">IF(AND(ISNUMBER($AY$152),$B$145=1),$AY$152,HLOOKUP(INDIRECT(ADDRESS(2,COLUMN())),OFFSET($BN$2,0,0,ROW()-1,60),ROW()-1,FALSE))</f>
        <v>0</v>
      </c>
      <c r="AZ10">
        <f ca="1">IF(AND(ISNUMBER($AZ$152),$B$145=1),$AZ$152,HLOOKUP(INDIRECT(ADDRESS(2,COLUMN())),OFFSET($BN$2,0,0,ROW()-1,60),ROW()-1,FALSE))</f>
        <v>0</v>
      </c>
      <c r="BA10">
        <f ca="1">IF(AND(ISNUMBER($BA$152),$B$145=1),$BA$152,HLOOKUP(INDIRECT(ADDRESS(2,COLUMN())),OFFSET($BN$2,0,0,ROW()-1,60),ROW()-1,FALSE))</f>
        <v>0</v>
      </c>
      <c r="BB10">
        <f ca="1">IF(AND(ISNUMBER($BB$152),$B$145=1),$BB$152,HLOOKUP(INDIRECT(ADDRESS(2,COLUMN())),OFFSET($BN$2,0,0,ROW()-1,60),ROW()-1,FALSE))</f>
        <v>0</v>
      </c>
      <c r="BC10">
        <f ca="1">IF(AND(ISNUMBER($BC$152),$B$145=1),$BC$152,HLOOKUP(INDIRECT(ADDRESS(2,COLUMN())),OFFSET($BN$2,0,0,ROW()-1,60),ROW()-1,FALSE))</f>
        <v>0</v>
      </c>
      <c r="BD10">
        <f ca="1">IF(AND(ISNUMBER($BD$152),$B$145=1),$BD$152,HLOOKUP(INDIRECT(ADDRESS(2,COLUMN())),OFFSET($BN$2,0,0,ROW()-1,60),ROW()-1,FALSE))</f>
        <v>0</v>
      </c>
      <c r="BE10">
        <f ca="1">IF(AND(ISNUMBER($BE$152),$B$145=1),$BE$152,HLOOKUP(INDIRECT(ADDRESS(2,COLUMN())),OFFSET($BN$2,0,0,ROW()-1,60),ROW()-1,FALSE))</f>
        <v>0</v>
      </c>
      <c r="BF10">
        <f ca="1">IF(AND(ISNUMBER($BF$152),$B$145=1),$BF$152,HLOOKUP(INDIRECT(ADDRESS(2,COLUMN())),OFFSET($BN$2,0,0,ROW()-1,60),ROW()-1,FALSE))</f>
        <v>0</v>
      </c>
      <c r="BG10">
        <f ca="1">IF(AND(ISNUMBER($BG$152),$B$145=1),$BG$152,HLOOKUP(INDIRECT(ADDRESS(2,COLUMN())),OFFSET($BN$2,0,0,ROW()-1,60),ROW()-1,FALSE))</f>
        <v>0</v>
      </c>
      <c r="BH10">
        <f ca="1">IF(AND(ISNUMBER($BH$152),$B$145=1),$BH$152,HLOOKUP(INDIRECT(ADDRESS(2,COLUMN())),OFFSET($BN$2,0,0,ROW()-1,60),ROW()-1,FALSE))</f>
        <v>0</v>
      </c>
      <c r="BI10">
        <f ca="1">IF(AND(ISNUMBER($BI$152),$B$145=1),$BI$152,HLOOKUP(INDIRECT(ADDRESS(2,COLUMN())),OFFSET($BN$2,0,0,ROW()-1,60),ROW()-1,FALSE))</f>
        <v>0</v>
      </c>
      <c r="BJ10">
        <f ca="1">IF(AND(ISNUMBER($BJ$152),$B$145=1),$BJ$152,HLOOKUP(INDIRECT(ADDRESS(2,COLUMN())),OFFSET($BN$2,0,0,ROW()-1,60),ROW()-1,FALSE))</f>
        <v>0</v>
      </c>
      <c r="BK10">
        <f ca="1">IF(AND(ISNUMBER($BK$152),$B$145=1),$BK$152,HLOOKUP(INDIRECT(ADDRESS(2,COLUMN())),OFFSET($BN$2,0,0,ROW()-1,60),ROW()-1,FALSE))</f>
        <v>0</v>
      </c>
      <c r="BL10">
        <f ca="1">IF(AND(ISNUMBER($BL$152),$B$145=1),$BL$152,HLOOKUP(INDIRECT(ADDRESS(2,COLUMN())),OFFSET($BN$2,0,0,ROW()-1,60),ROW()-1,FALSE))</f>
        <v>0</v>
      </c>
      <c r="BM10" t="str">
        <f ca="1">IF(AND(ISNUMBER($BM$152),$B$145=1),$BM$152,HLOOKUP(INDIRECT(ADDRESS(2,COLUMN())),OFFSET($BN$2,0,0,ROW()-1,60),ROW()-1,FALSE))</f>
        <v/>
      </c>
      <c r="BN10">
        <f>2917.413</f>
        <v>2917.413</v>
      </c>
      <c r="BO10">
        <f>2928.399</f>
        <v>2928.3989999999999</v>
      </c>
      <c r="BP10">
        <f>2938.25</f>
        <v>2938.25</v>
      </c>
      <c r="BQ10">
        <f>2948.642</f>
        <v>2948.6419999999998</v>
      </c>
      <c r="BR10">
        <f>2956.04</f>
        <v>2956.04</v>
      </c>
      <c r="BS10">
        <f>2964.235</f>
        <v>2964.2350000000001</v>
      </c>
      <c r="BT10">
        <f>2975.933</f>
        <v>2975.933</v>
      </c>
      <c r="BU10">
        <f>2993.421</f>
        <v>2993.4209999999998</v>
      </c>
      <c r="BV10">
        <f>3001.868</f>
        <v>3001.8679999999999</v>
      </c>
      <c r="BW10">
        <f>3012.667</f>
        <v>3012.6669999999999</v>
      </c>
      <c r="BX10">
        <f>3028.302</f>
        <v>3028.3020000000001</v>
      </c>
      <c r="BY10">
        <f>2997.702</f>
        <v>2997.7020000000002</v>
      </c>
      <c r="BZ10">
        <f>0</f>
        <v>0</v>
      </c>
      <c r="CA10">
        <f>0</f>
        <v>0</v>
      </c>
      <c r="CB10">
        <f>0</f>
        <v>0</v>
      </c>
      <c r="CC10">
        <f>0</f>
        <v>0</v>
      </c>
      <c r="CD10">
        <f>0</f>
        <v>0</v>
      </c>
      <c r="CE10">
        <f>0</f>
        <v>0</v>
      </c>
      <c r="CF10">
        <f>0</f>
        <v>0</v>
      </c>
      <c r="CG10">
        <f>0</f>
        <v>0</v>
      </c>
      <c r="CH10">
        <f>0</f>
        <v>0</v>
      </c>
      <c r="CI10">
        <f>0</f>
        <v>0</v>
      </c>
      <c r="CJ10">
        <f>0</f>
        <v>0</v>
      </c>
      <c r="CK10">
        <f>0</f>
        <v>0</v>
      </c>
      <c r="CL10">
        <f>0</f>
        <v>0</v>
      </c>
      <c r="CM10">
        <f>0</f>
        <v>0</v>
      </c>
      <c r="CN10">
        <f>0</f>
        <v>0</v>
      </c>
      <c r="CO10">
        <f>0</f>
        <v>0</v>
      </c>
      <c r="CP10">
        <f>0</f>
        <v>0</v>
      </c>
      <c r="CQ10">
        <f>0</f>
        <v>0</v>
      </c>
      <c r="CR10">
        <f>121.131</f>
        <v>121.131</v>
      </c>
      <c r="CS10">
        <f>132.497</f>
        <v>132.49700000000001</v>
      </c>
      <c r="CT10">
        <f>143.971</f>
        <v>143.971</v>
      </c>
      <c r="CU10">
        <f>154.461</f>
        <v>154.46100000000001</v>
      </c>
      <c r="CV10">
        <f>159.208</f>
        <v>159.208</v>
      </c>
      <c r="CW10">
        <f>160.135</f>
        <v>160.13499999999999</v>
      </c>
      <c r="CX10">
        <f>0</f>
        <v>0</v>
      </c>
      <c r="CY10">
        <f>0</f>
        <v>0</v>
      </c>
      <c r="CZ10">
        <f>0</f>
        <v>0</v>
      </c>
      <c r="DA10">
        <f>0</f>
        <v>0</v>
      </c>
      <c r="DB10">
        <f>0</f>
        <v>0</v>
      </c>
      <c r="DC10">
        <f>0</f>
        <v>0</v>
      </c>
      <c r="DD10">
        <f>0</f>
        <v>0</v>
      </c>
      <c r="DE10">
        <f>0</f>
        <v>0</v>
      </c>
      <c r="DF10">
        <f>0</f>
        <v>0</v>
      </c>
      <c r="DG10">
        <f>0</f>
        <v>0</v>
      </c>
      <c r="DH10">
        <f>0</f>
        <v>0</v>
      </c>
      <c r="DI10">
        <f>0</f>
        <v>0</v>
      </c>
      <c r="DJ10">
        <f>0</f>
        <v>0</v>
      </c>
      <c r="DK10">
        <f>0</f>
        <v>0</v>
      </c>
      <c r="DL10">
        <f>0</f>
        <v>0</v>
      </c>
      <c r="DM10">
        <f>0</f>
        <v>0</v>
      </c>
      <c r="DN10">
        <f>0</f>
        <v>0</v>
      </c>
      <c r="DO10">
        <f>0</f>
        <v>0</v>
      </c>
      <c r="DP10">
        <f>0</f>
        <v>0</v>
      </c>
      <c r="DQ10">
        <f>0</f>
        <v>0</v>
      </c>
      <c r="DR10">
        <f>0</f>
        <v>0</v>
      </c>
      <c r="DS10">
        <f>0</f>
        <v>0</v>
      </c>
      <c r="DT10">
        <f>0</f>
        <v>0</v>
      </c>
      <c r="DU10" t="str">
        <f>""</f>
        <v/>
      </c>
    </row>
    <row r="11" spans="1:125" x14ac:dyDescent="0.25">
      <c r="A11" t="str">
        <f>"                Fifth Third Bancorp"</f>
        <v xml:space="preserve">                Fifth Third Bancorp</v>
      </c>
      <c r="B11" t="str">
        <f>"FITB US Equity"</f>
        <v>FITB US Equity</v>
      </c>
      <c r="C11" t="str">
        <f t="shared" si="0"/>
        <v>FC470</v>
      </c>
      <c r="D11" t="str">
        <f t="shared" si="1"/>
        <v>FDIC_SECS_HELD_TO_MTY_BOOK_VAL</v>
      </c>
      <c r="E11" t="str">
        <f t="shared" si="2"/>
        <v>Dynamic</v>
      </c>
      <c r="F11">
        <f ca="1">IF(AND(ISNUMBER($F$153),$B$145=1),$F$153,HLOOKUP(INDIRECT(ADDRESS(2,COLUMN())),OFFSET($BN$2,0,0,ROW()-1,60),ROW()-1,FALSE))</f>
        <v>11277</v>
      </c>
      <c r="G11">
        <f ca="1">IF(AND(ISNUMBER($G$153),$B$145=1),$G$153,HLOOKUP(INDIRECT(ADDRESS(2,COLUMN())),OFFSET($BN$2,0,0,ROW()-1,60),ROW()-1,FALSE))</f>
        <v>11356</v>
      </c>
      <c r="H11">
        <f ca="1">IF(AND(ISNUMBER($H$153),$B$145=1),$H$153,HLOOKUP(INDIRECT(ADDRESS(2,COLUMN())),OFFSET($BN$2,0,0,ROW()-1,60),ROW()-1,FALSE))</f>
        <v>11441</v>
      </c>
      <c r="I11">
        <f ca="1">IF(AND(ISNUMBER($I$153),$B$145=1),$I$153,HLOOKUP(INDIRECT(ADDRESS(2,COLUMN())),OFFSET($BN$2,0,0,ROW()-1,60),ROW()-1,FALSE))</f>
        <v>11519</v>
      </c>
      <c r="J11">
        <f ca="1">IF(AND(ISNUMBER($J$153),$B$145=1),$J$153,HLOOKUP(INDIRECT(ADDRESS(2,COLUMN())),OFFSET($BN$2,0,0,ROW()-1,60),ROW()-1,FALSE))</f>
        <v>0</v>
      </c>
      <c r="K11">
        <f ca="1">IF(AND(ISNUMBER($K$153),$B$145=1),$K$153,HLOOKUP(INDIRECT(ADDRESS(2,COLUMN())),OFFSET($BN$2,0,0,ROW()-1,60),ROW()-1,FALSE))</f>
        <v>0</v>
      </c>
      <c r="L11">
        <f ca="1">IF(AND(ISNUMBER($L$153),$B$145=1),$L$153,HLOOKUP(INDIRECT(ADDRESS(2,COLUMN())),OFFSET($BN$2,0,0,ROW()-1,60),ROW()-1,FALSE))</f>
        <v>0</v>
      </c>
      <c r="M11">
        <f ca="1">IF(AND(ISNUMBER($M$153),$B$145=1),$M$153,HLOOKUP(INDIRECT(ADDRESS(2,COLUMN())),OFFSET($BN$2,0,0,ROW()-1,60),ROW()-1,FALSE))</f>
        <v>0</v>
      </c>
      <c r="N11">
        <f ca="1">IF(AND(ISNUMBER($N$153),$B$145=1),$N$153,HLOOKUP(INDIRECT(ADDRESS(2,COLUMN())),OFFSET($BN$2,0,0,ROW()-1,60),ROW()-1,FALSE))</f>
        <v>3.411</v>
      </c>
      <c r="O11">
        <f ca="1">IF(AND(ISNUMBER($O$153),$B$145=1),$O$153,HLOOKUP(INDIRECT(ADDRESS(2,COLUMN())),OFFSET($BN$2,0,0,ROW()-1,60),ROW()-1,FALSE))</f>
        <v>3.593</v>
      </c>
      <c r="P11">
        <f ca="1">IF(AND(ISNUMBER($P$153),$B$145=1),$P$153,HLOOKUP(INDIRECT(ADDRESS(2,COLUMN())),OFFSET($BN$2,0,0,ROW()-1,60),ROW()-1,FALSE))</f>
        <v>3.7890000000000001</v>
      </c>
      <c r="Q11">
        <f ca="1">IF(AND(ISNUMBER($Q$153),$B$145=1),$Q$153,HLOOKUP(INDIRECT(ADDRESS(2,COLUMN())),OFFSET($BN$2,0,0,ROW()-1,60),ROW()-1,FALSE))</f>
        <v>3.88</v>
      </c>
      <c r="R11">
        <f ca="1">IF(AND(ISNUMBER($R$153),$B$145=1),$R$153,HLOOKUP(INDIRECT(ADDRESS(2,COLUMN())),OFFSET($BN$2,0,0,ROW()-1,60),ROW()-1,FALSE))</f>
        <v>6.2779999999999996</v>
      </c>
      <c r="S11">
        <f ca="1">IF(AND(ISNUMBER($S$153),$B$145=1),$S$153,HLOOKUP(INDIRECT(ADDRESS(2,COLUMN())),OFFSET($BN$2,0,0,ROW()-1,60),ROW()-1,FALSE))</f>
        <v>6.4729999999999999</v>
      </c>
      <c r="T11">
        <f ca="1">IF(AND(ISNUMBER($T$153),$B$145=1),$T$153,HLOOKUP(INDIRECT(ADDRESS(2,COLUMN())),OFFSET($BN$2,0,0,ROW()-1,60),ROW()-1,FALSE))</f>
        <v>8.7490000000000006</v>
      </c>
      <c r="U11">
        <f ca="1">IF(AND(ISNUMBER($U$153),$B$145=1),$U$153,HLOOKUP(INDIRECT(ADDRESS(2,COLUMN())),OFFSET($BN$2,0,0,ROW()-1,60),ROW()-1,FALSE))</f>
        <v>8.7379999999999995</v>
      </c>
      <c r="V11">
        <f ca="1">IF(AND(ISNUMBER($V$153),$B$145=1),$V$153,HLOOKUP(INDIRECT(ADDRESS(2,COLUMN())),OFFSET($BN$2,0,0,ROW()-1,60),ROW()-1,FALSE))</f>
        <v>9.0380000000000003</v>
      </c>
      <c r="W11">
        <f ca="1">IF(AND(ISNUMBER($W$153),$B$145=1),$W$153,HLOOKUP(INDIRECT(ADDRESS(2,COLUMN())),OFFSET($BN$2,0,0,ROW()-1,60),ROW()-1,FALSE))</f>
        <v>13.24</v>
      </c>
      <c r="X11">
        <f ca="1">IF(AND(ISNUMBER($X$153),$B$145=1),$X$153,HLOOKUP(INDIRECT(ADDRESS(2,COLUMN())),OFFSET($BN$2,0,0,ROW()-1,60),ROW()-1,FALSE))</f>
        <v>14.212999999999999</v>
      </c>
      <c r="Y11">
        <f ca="1">IF(AND(ISNUMBER($Y$153),$B$145=1),$Y$153,HLOOKUP(INDIRECT(ADDRESS(2,COLUMN())),OFFSET($BN$2,0,0,ROW()-1,60),ROW()-1,FALSE))</f>
        <v>14.993</v>
      </c>
      <c r="Z11">
        <f ca="1">IF(AND(ISNUMBER($Z$153),$B$145=1),$Z$153,HLOOKUP(INDIRECT(ADDRESS(2,COLUMN())),OFFSET($BN$2,0,0,ROW()-1,60),ROW()-1,FALSE))</f>
        <v>15.25</v>
      </c>
      <c r="AA11">
        <f ca="1">IF(AND(ISNUMBER($AA$153),$B$145=1),$AA$153,HLOOKUP(INDIRECT(ADDRESS(2,COLUMN())),OFFSET($BN$2,0,0,ROW()-1,60),ROW()-1,FALSE))</f>
        <v>15.436999999999999</v>
      </c>
      <c r="AB11">
        <f ca="1">IF(AND(ISNUMBER($AB$153),$B$145=1),$AB$153,HLOOKUP(INDIRECT(ADDRESS(2,COLUMN())),OFFSET($BN$2,0,0,ROW()-1,60),ROW()-1,FALSE))</f>
        <v>15.569000000000001</v>
      </c>
      <c r="AC11">
        <f ca="1">IF(AND(ISNUMBER($AC$153),$B$145=1),$AC$153,HLOOKUP(INDIRECT(ADDRESS(2,COLUMN())),OFFSET($BN$2,0,0,ROW()-1,60),ROW()-1,FALSE))</f>
        <v>15.743</v>
      </c>
      <c r="AD11">
        <f ca="1">IF(AND(ISNUMBER($AD$153),$B$145=1),$AD$153,HLOOKUP(INDIRECT(ADDRESS(2,COLUMN())),OFFSET($BN$2,0,0,ROW()-1,60),ROW()-1,FALSE))</f>
        <v>15.94</v>
      </c>
      <c r="AE11">
        <f ca="1">IF(AND(ISNUMBER($AE$153),$B$145=1),$AE$153,HLOOKUP(INDIRECT(ADDRESS(2,COLUMN())),OFFSET($BN$2,0,0,ROW()-1,60),ROW()-1,FALSE))</f>
        <v>16.123000000000001</v>
      </c>
      <c r="AF11">
        <f ca="1">IF(AND(ISNUMBER($AF$153),$B$145=1),$AF$153,HLOOKUP(INDIRECT(ADDRESS(2,COLUMN())),OFFSET($BN$2,0,0,ROW()-1,60),ROW()-1,FALSE))</f>
        <v>17.420999999999999</v>
      </c>
      <c r="AG11">
        <f ca="1">IF(AND(ISNUMBER($AG$153),$B$145=1),$AG$153,HLOOKUP(INDIRECT(ADDRESS(2,COLUMN())),OFFSET($BN$2,0,0,ROW()-1,60),ROW()-1,FALSE))</f>
        <v>21.645</v>
      </c>
      <c r="AH11">
        <f ca="1">IF(AND(ISNUMBER($AH$153),$B$145=1),$AH$153,HLOOKUP(INDIRECT(ADDRESS(2,COLUMN())),OFFSET($BN$2,0,0,ROW()-1,60),ROW()-1,FALSE))</f>
        <v>21.969000000000001</v>
      </c>
      <c r="AI11">
        <f ca="1">IF(AND(ISNUMBER($AI$153),$B$145=1),$AI$153,HLOOKUP(INDIRECT(ADDRESS(2,COLUMN())),OFFSET($BN$2,0,0,ROW()-1,60),ROW()-1,FALSE))</f>
        <v>23.693999999999999</v>
      </c>
      <c r="AJ11">
        <f ca="1">IF(AND(ISNUMBER($AJ$153),$B$145=1),$AJ$153,HLOOKUP(INDIRECT(ADDRESS(2,COLUMN())),OFFSET($BN$2,0,0,ROW()-1,60),ROW()-1,FALSE))</f>
        <v>24.012</v>
      </c>
      <c r="AK11">
        <f ca="1">IF(AND(ISNUMBER($AK$153),$B$145=1),$AK$153,HLOOKUP(INDIRECT(ADDRESS(2,COLUMN())),OFFSET($BN$2,0,0,ROW()-1,60),ROW()-1,FALSE))</f>
        <v>24.175999999999998</v>
      </c>
      <c r="AL11">
        <f ca="1">IF(AND(ISNUMBER($AL$153),$B$145=1),$AL$153,HLOOKUP(INDIRECT(ADDRESS(2,COLUMN())),OFFSET($BN$2,0,0,ROW()-1,60),ROW()-1,FALSE))</f>
        <v>24.49</v>
      </c>
      <c r="AM11">
        <f ca="1">IF(AND(ISNUMBER($AM$153),$B$145=1),$AM$153,HLOOKUP(INDIRECT(ADDRESS(2,COLUMN())),OFFSET($BN$2,0,0,ROW()-1,60),ROW()-1,FALSE))</f>
        <v>54.78</v>
      </c>
      <c r="AN11">
        <f ca="1">IF(AND(ISNUMBER($AN$153),$B$145=1),$AN$153,HLOOKUP(INDIRECT(ADDRESS(2,COLUMN())),OFFSET($BN$2,0,0,ROW()-1,60),ROW()-1,FALSE))</f>
        <v>60.128999999999998</v>
      </c>
      <c r="AO11">
        <f ca="1">IF(AND(ISNUMBER($AO$153),$B$145=1),$AO$153,HLOOKUP(INDIRECT(ADDRESS(2,COLUMN())),OFFSET($BN$2,0,0,ROW()-1,60),ROW()-1,FALSE))</f>
        <v>62.292000000000002</v>
      </c>
      <c r="AP11">
        <f ca="1">IF(AND(ISNUMBER($AP$153),$B$145=1),$AP$153,HLOOKUP(INDIRECT(ADDRESS(2,COLUMN())),OFFSET($BN$2,0,0,ROW()-1,60),ROW()-1,FALSE))</f>
        <v>68.105000000000004</v>
      </c>
      <c r="AQ11">
        <f ca="1">IF(AND(ISNUMBER($AQ$153),$B$145=1),$AQ$153,HLOOKUP(INDIRECT(ADDRESS(2,COLUMN())),OFFSET($BN$2,0,0,ROW()-1,60),ROW()-1,FALSE))</f>
        <v>155.25700000000001</v>
      </c>
      <c r="AR11">
        <f ca="1">IF(AND(ISNUMBER($AR$153),$B$145=1),$AR$153,HLOOKUP(INDIRECT(ADDRESS(2,COLUMN())),OFFSET($BN$2,0,0,ROW()-1,60),ROW()-1,FALSE))</f>
        <v>155.72999999999999</v>
      </c>
      <c r="AS11">
        <f ca="1">IF(AND(ISNUMBER($AS$153),$B$145=1),$AS$153,HLOOKUP(INDIRECT(ADDRESS(2,COLUMN())),OFFSET($BN$2,0,0,ROW()-1,60),ROW()-1,FALSE))</f>
        <v>175.60900000000001</v>
      </c>
      <c r="AT11">
        <f ca="1">IF(AND(ISNUMBER($AT$153),$B$145=1),$AT$153,HLOOKUP(INDIRECT(ADDRESS(2,COLUMN())),OFFSET($BN$2,0,0,ROW()-1,60),ROW()-1,FALSE))</f>
        <v>185.548</v>
      </c>
      <c r="AU11">
        <f ca="1">IF(AND(ISNUMBER($AU$153),$B$145=1),$AU$153,HLOOKUP(INDIRECT(ADDRESS(2,COLUMN())),OFFSET($BN$2,0,0,ROW()-1,60),ROW()-1,FALSE))</f>
        <v>189.55600000000001</v>
      </c>
      <c r="AV11">
        <f ca="1">IF(AND(ISNUMBER($AV$153),$B$145=1),$AV$153,HLOOKUP(INDIRECT(ADDRESS(2,COLUMN())),OFFSET($BN$2,0,0,ROW()-1,60),ROW()-1,FALSE))</f>
        <v>192.68600000000001</v>
      </c>
      <c r="AW11">
        <f ca="1">IF(AND(ISNUMBER($AW$153),$B$145=1),$AW$153,HLOOKUP(INDIRECT(ADDRESS(2,COLUMN())),OFFSET($BN$2,0,0,ROW()-1,60),ROW()-1,FALSE))</f>
        <v>193.73099999999999</v>
      </c>
      <c r="AX11">
        <f ca="1">IF(AND(ISNUMBER($AX$153),$B$145=1),$AX$153,HLOOKUP(INDIRECT(ADDRESS(2,COLUMN())),OFFSET($BN$2,0,0,ROW()-1,60),ROW()-1,FALSE))</f>
        <v>206.625</v>
      </c>
      <c r="AY11">
        <f ca="1">IF(AND(ISNUMBER($AY$153),$B$145=1),$AY$153,HLOOKUP(INDIRECT(ADDRESS(2,COLUMN())),OFFSET($BN$2,0,0,ROW()-1,60),ROW()-1,FALSE))</f>
        <v>263.55099999999999</v>
      </c>
      <c r="AZ11">
        <f ca="1">IF(AND(ISNUMBER($AZ$153),$B$145=1),$AZ$153,HLOOKUP(INDIRECT(ADDRESS(2,COLUMN())),OFFSET($BN$2,0,0,ROW()-1,60),ROW()-1,FALSE))</f>
        <v>272.93</v>
      </c>
      <c r="BA11">
        <f ca="1">IF(AND(ISNUMBER($BA$153),$B$145=1),$BA$153,HLOOKUP(INDIRECT(ADDRESS(2,COLUMN())),OFFSET($BN$2,0,0,ROW()-1,60),ROW()-1,FALSE))</f>
        <v>281.75799999999998</v>
      </c>
      <c r="BB11">
        <f ca="1">IF(AND(ISNUMBER($BB$153),$B$145=1),$BB$153,HLOOKUP(INDIRECT(ADDRESS(2,COLUMN())),OFFSET($BN$2,0,0,ROW()-1,60),ROW()-1,FALSE))</f>
        <v>282.459</v>
      </c>
      <c r="BC11">
        <f ca="1">IF(AND(ISNUMBER($BC$153),$B$145=1),$BC$153,HLOOKUP(INDIRECT(ADDRESS(2,COLUMN())),OFFSET($BN$2,0,0,ROW()-1,60),ROW()-1,FALSE))</f>
        <v>285.10599999999999</v>
      </c>
      <c r="BD11">
        <f ca="1">IF(AND(ISNUMBER($BD$153),$B$145=1),$BD$153,HLOOKUP(INDIRECT(ADDRESS(2,COLUMN())),OFFSET($BN$2,0,0,ROW()-1,60),ROW()-1,FALSE))</f>
        <v>303.06400000000002</v>
      </c>
      <c r="BE11">
        <f ca="1">IF(AND(ISNUMBER($BE$153),$B$145=1),$BE$153,HLOOKUP(INDIRECT(ADDRESS(2,COLUMN())),OFFSET($BN$2,0,0,ROW()-1,60),ROW()-1,FALSE))</f>
        <v>319.202</v>
      </c>
      <c r="BF11">
        <f ca="1">IF(AND(ISNUMBER($BF$153),$B$145=1),$BF$153,HLOOKUP(INDIRECT(ADDRESS(2,COLUMN())),OFFSET($BN$2,0,0,ROW()-1,60),ROW()-1,FALSE))</f>
        <v>320.07</v>
      </c>
      <c r="BG11">
        <f ca="1">IF(AND(ISNUMBER($BG$153),$B$145=1),$BG$153,HLOOKUP(INDIRECT(ADDRESS(2,COLUMN())),OFFSET($BN$2,0,0,ROW()-1,60),ROW()-1,FALSE))</f>
        <v>334.745</v>
      </c>
      <c r="BH11">
        <f ca="1">IF(AND(ISNUMBER($BH$153),$B$145=1),$BH$153,HLOOKUP(INDIRECT(ADDRESS(2,COLUMN())),OFFSET($BN$2,0,0,ROW()-1,60),ROW()-1,FALSE))</f>
        <v>340.14800000000002</v>
      </c>
      <c r="BI11">
        <f ca="1">IF(AND(ISNUMBER($BI$153),$B$145=1),$BI$153,HLOOKUP(INDIRECT(ADDRESS(2,COLUMN())),OFFSET($BN$2,0,0,ROW()-1,60),ROW()-1,FALSE))</f>
        <v>340.721</v>
      </c>
      <c r="BJ11">
        <f ca="1">IF(AND(ISNUMBER($BJ$153),$B$145=1),$BJ$153,HLOOKUP(INDIRECT(ADDRESS(2,COLUMN())),OFFSET($BN$2,0,0,ROW()-1,60),ROW()-1,FALSE))</f>
        <v>347.43299999999999</v>
      </c>
      <c r="BK11">
        <f ca="1">IF(AND(ISNUMBER($BK$153),$B$145=1),$BK$153,HLOOKUP(INDIRECT(ADDRESS(2,COLUMN())),OFFSET($BN$2,0,0,ROW()-1,60),ROW()-1,FALSE))</f>
        <v>348.851</v>
      </c>
      <c r="BL11">
        <f ca="1">IF(AND(ISNUMBER($BL$153),$B$145=1),$BL$153,HLOOKUP(INDIRECT(ADDRESS(2,COLUMN())),OFFSET($BN$2,0,0,ROW()-1,60),ROW()-1,FALSE))</f>
        <v>348.59899999999999</v>
      </c>
      <c r="BM11" t="str">
        <f ca="1">IF(AND(ISNUMBER($BM$153),$B$145=1),$BM$153,HLOOKUP(INDIRECT(ADDRESS(2,COLUMN())),OFFSET($BN$2,0,0,ROW()-1,60),ROW()-1,FALSE))</f>
        <v/>
      </c>
      <c r="BN11">
        <f>11277</f>
        <v>11277</v>
      </c>
      <c r="BO11">
        <f>11356</f>
        <v>11356</v>
      </c>
      <c r="BP11">
        <f>11441</f>
        <v>11441</v>
      </c>
      <c r="BQ11">
        <f>11519</f>
        <v>11519</v>
      </c>
      <c r="BR11">
        <f>0</f>
        <v>0</v>
      </c>
      <c r="BS11">
        <f>0</f>
        <v>0</v>
      </c>
      <c r="BT11">
        <f>0</f>
        <v>0</v>
      </c>
      <c r="BU11">
        <f>0</f>
        <v>0</v>
      </c>
      <c r="BV11">
        <f>3.411</f>
        <v>3.411</v>
      </c>
      <c r="BW11">
        <f>3.593</f>
        <v>3.593</v>
      </c>
      <c r="BX11">
        <f>3.789</f>
        <v>3.7890000000000001</v>
      </c>
      <c r="BY11">
        <f>3.88</f>
        <v>3.88</v>
      </c>
      <c r="BZ11">
        <f>6.278</f>
        <v>6.2779999999999996</v>
      </c>
      <c r="CA11">
        <f>6.473</f>
        <v>6.4729999999999999</v>
      </c>
      <c r="CB11">
        <f>8.749</f>
        <v>8.7490000000000006</v>
      </c>
      <c r="CC11">
        <f>8.738</f>
        <v>8.7379999999999995</v>
      </c>
      <c r="CD11">
        <f>9.038</f>
        <v>9.0380000000000003</v>
      </c>
      <c r="CE11">
        <f>13.24</f>
        <v>13.24</v>
      </c>
      <c r="CF11">
        <f>14.213</f>
        <v>14.212999999999999</v>
      </c>
      <c r="CG11">
        <f>14.993</f>
        <v>14.993</v>
      </c>
      <c r="CH11">
        <f>15.25</f>
        <v>15.25</v>
      </c>
      <c r="CI11">
        <f>15.437</f>
        <v>15.436999999999999</v>
      </c>
      <c r="CJ11">
        <f>15.569</f>
        <v>15.569000000000001</v>
      </c>
      <c r="CK11">
        <f>15.743</f>
        <v>15.743</v>
      </c>
      <c r="CL11">
        <f>15.94</f>
        <v>15.94</v>
      </c>
      <c r="CM11">
        <f>16.123</f>
        <v>16.123000000000001</v>
      </c>
      <c r="CN11">
        <f>17.421</f>
        <v>17.420999999999999</v>
      </c>
      <c r="CO11">
        <f>21.645</f>
        <v>21.645</v>
      </c>
      <c r="CP11">
        <f>21.969</f>
        <v>21.969000000000001</v>
      </c>
      <c r="CQ11">
        <f>23.694</f>
        <v>23.693999999999999</v>
      </c>
      <c r="CR11">
        <f>24.012</f>
        <v>24.012</v>
      </c>
      <c r="CS11">
        <f>24.176</f>
        <v>24.175999999999998</v>
      </c>
      <c r="CT11">
        <f>24.49</f>
        <v>24.49</v>
      </c>
      <c r="CU11">
        <f>54.78</f>
        <v>54.78</v>
      </c>
      <c r="CV11">
        <f>60.129</f>
        <v>60.128999999999998</v>
      </c>
      <c r="CW11">
        <f>62.292</f>
        <v>62.292000000000002</v>
      </c>
      <c r="CX11">
        <f>68.105</f>
        <v>68.105000000000004</v>
      </c>
      <c r="CY11">
        <f>155.257</f>
        <v>155.25700000000001</v>
      </c>
      <c r="CZ11">
        <f>155.73</f>
        <v>155.72999999999999</v>
      </c>
      <c r="DA11">
        <f>175.609</f>
        <v>175.60900000000001</v>
      </c>
      <c r="DB11">
        <f>185.548</f>
        <v>185.548</v>
      </c>
      <c r="DC11">
        <f>189.556</f>
        <v>189.55600000000001</v>
      </c>
      <c r="DD11">
        <f>192.686</f>
        <v>192.68600000000001</v>
      </c>
      <c r="DE11">
        <f>193.731</f>
        <v>193.73099999999999</v>
      </c>
      <c r="DF11">
        <f>206.625</f>
        <v>206.625</v>
      </c>
      <c r="DG11">
        <f>263.551</f>
        <v>263.55099999999999</v>
      </c>
      <c r="DH11">
        <f>272.93</f>
        <v>272.93</v>
      </c>
      <c r="DI11">
        <f>281.758</f>
        <v>281.75799999999998</v>
      </c>
      <c r="DJ11">
        <f>282.459</f>
        <v>282.459</v>
      </c>
      <c r="DK11">
        <f>285.106</f>
        <v>285.10599999999999</v>
      </c>
      <c r="DL11">
        <f>303.064</f>
        <v>303.06400000000002</v>
      </c>
      <c r="DM11">
        <f>319.202</f>
        <v>319.202</v>
      </c>
      <c r="DN11">
        <f>320.07</f>
        <v>320.07</v>
      </c>
      <c r="DO11">
        <f>334.745</f>
        <v>334.745</v>
      </c>
      <c r="DP11">
        <f>340.148</f>
        <v>340.14800000000002</v>
      </c>
      <c r="DQ11">
        <f>340.721</f>
        <v>340.721</v>
      </c>
      <c r="DR11">
        <f>347.433</f>
        <v>347.43299999999999</v>
      </c>
      <c r="DS11">
        <f>348.851</f>
        <v>348.851</v>
      </c>
      <c r="DT11">
        <f>348.599</f>
        <v>348.59899999999999</v>
      </c>
      <c r="DU11" t="str">
        <f>""</f>
        <v/>
      </c>
    </row>
    <row r="12" spans="1:125" x14ac:dyDescent="0.25">
      <c r="A12" t="str">
        <f>"                First Citizens BancShares Inc/"</f>
        <v xml:space="preserve">                First Citizens BancShares Inc/</v>
      </c>
      <c r="B12" t="str">
        <f>"FCNCA US Equity"</f>
        <v>FCNCA US Equity</v>
      </c>
      <c r="C12" t="str">
        <f t="shared" si="0"/>
        <v>FC470</v>
      </c>
      <c r="D12" t="str">
        <f t="shared" si="1"/>
        <v>FDIC_SECS_HELD_TO_MTY_BOOK_VAL</v>
      </c>
      <c r="E12" t="str">
        <f t="shared" si="2"/>
        <v>Dynamic</v>
      </c>
      <c r="F12">
        <f ca="1">IF(AND(ISNUMBER($F$154),$B$145=1),$F$154,HLOOKUP(INDIRECT(ADDRESS(2,COLUMN())),OFFSET($BN$2,0,0,ROW()-1,60),ROW()-1,FALSE))</f>
        <v>10237</v>
      </c>
      <c r="G12">
        <f ca="1">IF(AND(ISNUMBER($G$154),$B$145=1),$G$154,HLOOKUP(INDIRECT(ADDRESS(2,COLUMN())),OFFSET($BN$2,0,0,ROW()-1,60),ROW()-1,FALSE))</f>
        <v>10390</v>
      </c>
      <c r="H12">
        <f ca="1">IF(AND(ISNUMBER($H$154),$B$145=1),$H$154,HLOOKUP(INDIRECT(ADDRESS(2,COLUMN())),OFFSET($BN$2,0,0,ROW()-1,60),ROW()-1,FALSE))</f>
        <v>10534</v>
      </c>
      <c r="I12">
        <f ca="1">IF(AND(ISNUMBER($I$154),$B$145=1),$I$154,HLOOKUP(INDIRECT(ADDRESS(2,COLUMN())),OFFSET($BN$2,0,0,ROW()-1,60),ROW()-1,FALSE))</f>
        <v>10048</v>
      </c>
      <c r="J12">
        <f ca="1">IF(AND(ISNUMBER($J$154),$B$145=1),$J$154,HLOOKUP(INDIRECT(ADDRESS(2,COLUMN())),OFFSET($BN$2,0,0,ROW()-1,60),ROW()-1,FALSE))</f>
        <v>9976.9369999999999</v>
      </c>
      <c r="K12">
        <f ca="1">IF(AND(ISNUMBER($K$154),$B$145=1),$K$154,HLOOKUP(INDIRECT(ADDRESS(2,COLUMN())),OFFSET($BN$2,0,0,ROW()-1,60),ROW()-1,FALSE))</f>
        <v>10079.885</v>
      </c>
      <c r="L12">
        <f ca="1">IF(AND(ISNUMBER($L$154),$B$145=1),$L$154,HLOOKUP(INDIRECT(ADDRESS(2,COLUMN())),OFFSET($BN$2,0,0,ROW()-1,60),ROW()-1,FALSE))</f>
        <v>10198.781999999999</v>
      </c>
      <c r="M12">
        <f ca="1">IF(AND(ISNUMBER($M$154),$B$145=1),$M$154,HLOOKUP(INDIRECT(ADDRESS(2,COLUMN())),OFFSET($BN$2,0,0,ROW()-1,60),ROW()-1,FALSE))</f>
        <v>10379.163</v>
      </c>
      <c r="N12">
        <f ca="1">IF(AND(ISNUMBER($N$154),$B$145=1),$N$154,HLOOKUP(INDIRECT(ADDRESS(2,COLUMN())),OFFSET($BN$2,0,0,ROW()-1,60),ROW()-1,FALSE))</f>
        <v>10276.849</v>
      </c>
      <c r="O12">
        <f ca="1">IF(AND(ISNUMBER($O$154),$B$145=1),$O$154,HLOOKUP(INDIRECT(ADDRESS(2,COLUMN())),OFFSET($BN$2,0,0,ROW()-1,60),ROW()-1,FALSE))</f>
        <v>9658.3119999999999</v>
      </c>
      <c r="P12">
        <f ca="1">IF(AND(ISNUMBER($P$154),$B$145=1),$P$154,HLOOKUP(INDIRECT(ADDRESS(2,COLUMN())),OFFSET($BN$2,0,0,ROW()-1,60),ROW()-1,FALSE))</f>
        <v>9829.2219999999998</v>
      </c>
      <c r="Q12">
        <f ca="1">IF(AND(ISNUMBER($Q$154),$B$145=1),$Q$154,HLOOKUP(INDIRECT(ADDRESS(2,COLUMN())),OFFSET($BN$2,0,0,ROW()-1,60),ROW()-1,FALSE))</f>
        <v>10069.647999999999</v>
      </c>
      <c r="R12">
        <f ca="1">IF(AND(ISNUMBER($R$154),$B$145=1),$R$154,HLOOKUP(INDIRECT(ADDRESS(2,COLUMN())),OFFSET($BN$2,0,0,ROW()-1,60),ROW()-1,FALSE))</f>
        <v>3807.4450000000002</v>
      </c>
      <c r="S12">
        <f ca="1">IF(AND(ISNUMBER($S$154),$B$145=1),$S$154,HLOOKUP(INDIRECT(ADDRESS(2,COLUMN())),OFFSET($BN$2,0,0,ROW()-1,60),ROW()-1,FALSE))</f>
        <v>3379.069</v>
      </c>
      <c r="T12">
        <f ca="1">IF(AND(ISNUMBER($T$154),$B$145=1),$T$154,HLOOKUP(INDIRECT(ADDRESS(2,COLUMN())),OFFSET($BN$2,0,0,ROW()-1,60),ROW()-1,FALSE))</f>
        <v>3392.5970000000002</v>
      </c>
      <c r="U12">
        <f ca="1">IF(AND(ISNUMBER($U$154),$B$145=1),$U$154,HLOOKUP(INDIRECT(ADDRESS(2,COLUMN())),OFFSET($BN$2,0,0,ROW()-1,60),ROW()-1,FALSE))</f>
        <v>2806.0920000000001</v>
      </c>
      <c r="V12">
        <f ca="1">IF(AND(ISNUMBER($V$154),$B$145=1),$V$154,HLOOKUP(INDIRECT(ADDRESS(2,COLUMN())),OFFSET($BN$2,0,0,ROW()-1,60),ROW()-1,FALSE))</f>
        <v>2814.7260000000001</v>
      </c>
      <c r="W12">
        <f ca="1">IF(AND(ISNUMBER($W$154),$B$145=1),$W$154,HLOOKUP(INDIRECT(ADDRESS(2,COLUMN())),OFFSET($BN$2,0,0,ROW()-1,60),ROW()-1,FALSE))</f>
        <v>745.476</v>
      </c>
      <c r="X12">
        <f ca="1">IF(AND(ISNUMBER($X$154),$B$145=1),$X$154,HLOOKUP(INDIRECT(ADDRESS(2,COLUMN())),OFFSET($BN$2,0,0,ROW()-1,60),ROW()-1,FALSE))</f>
        <v>771.87199999999996</v>
      </c>
      <c r="Y12">
        <f ca="1">IF(AND(ISNUMBER($Y$154),$B$145=1),$Y$154,HLOOKUP(INDIRECT(ADDRESS(2,COLUMN())),OFFSET($BN$2,0,0,ROW()-1,60),ROW()-1,FALSE))</f>
        <v>720.44100000000003</v>
      </c>
      <c r="Z12">
        <f ca="1">IF(AND(ISNUMBER($Z$154),$B$145=1),$Z$154,HLOOKUP(INDIRECT(ADDRESS(2,COLUMN())),OFFSET($BN$2,0,0,ROW()-1,60),ROW()-1,FALSE))</f>
        <v>0</v>
      </c>
      <c r="AA12">
        <f ca="1">IF(AND(ISNUMBER($AA$154),$B$145=1),$AA$154,HLOOKUP(INDIRECT(ADDRESS(2,COLUMN())),OFFSET($BN$2,0,0,ROW()-1,60),ROW()-1,FALSE))</f>
        <v>2115.1410000000001</v>
      </c>
      <c r="AB12">
        <f ca="1">IF(AND(ISNUMBER($AB$154),$B$145=1),$AB$154,HLOOKUP(INDIRECT(ADDRESS(2,COLUMN())),OFFSET($BN$2,0,0,ROW()-1,60),ROW()-1,FALSE))</f>
        <v>2182.5</v>
      </c>
      <c r="AC12">
        <f ca="1">IF(AND(ISNUMBER($AC$154),$B$145=1),$AC$154,HLOOKUP(INDIRECT(ADDRESS(2,COLUMN())),OFFSET($BN$2,0,0,ROW()-1,60),ROW()-1,FALSE))</f>
        <v>2214.8290000000002</v>
      </c>
      <c r="AD12">
        <f ca="1">IF(AND(ISNUMBER($AD$154),$B$145=1),$AD$154,HLOOKUP(INDIRECT(ADDRESS(2,COLUMN())),OFFSET($BN$2,0,0,ROW()-1,60),ROW()-1,FALSE))</f>
        <v>2184.6529999999998</v>
      </c>
      <c r="AE12">
        <f ca="1">IF(AND(ISNUMBER($AE$154),$B$145=1),$AE$154,HLOOKUP(INDIRECT(ADDRESS(2,COLUMN())),OFFSET($BN$2,0,0,ROW()-1,60),ROW()-1,FALSE))</f>
        <v>2253.4160000000002</v>
      </c>
      <c r="AF12">
        <f ca="1">IF(AND(ISNUMBER($AF$154),$B$145=1),$AF$154,HLOOKUP(INDIRECT(ADDRESS(2,COLUMN())),OFFSET($BN$2,0,0,ROW()-1,60),ROW()-1,FALSE))</f>
        <v>2299.7739999999999</v>
      </c>
      <c r="AG12">
        <f ca="1">IF(AND(ISNUMBER($AG$154),$B$145=1),$AG$154,HLOOKUP(INDIRECT(ADDRESS(2,COLUMN())),OFFSET($BN$2,0,0,ROW()-1,60),ROW()-1,FALSE))</f>
        <v>7.3999999999999996E-2</v>
      </c>
      <c r="AH12">
        <f ca="1">IF(AND(ISNUMBER($AH$154),$B$145=1),$AH$154,HLOOKUP(INDIRECT(ADDRESS(2,COLUMN())),OFFSET($BN$2,0,0,ROW()-1,60),ROW()-1,FALSE))</f>
        <v>7.5999999999999998E-2</v>
      </c>
      <c r="AI12">
        <f ca="1">IF(AND(ISNUMBER($AI$154),$B$145=1),$AI$154,HLOOKUP(INDIRECT(ADDRESS(2,COLUMN())),OFFSET($BN$2,0,0,ROW()-1,60),ROW()-1,FALSE))</f>
        <v>7.8E-2</v>
      </c>
      <c r="AJ12">
        <f ca="1">IF(AND(ISNUMBER($AJ$154),$B$145=1),$AJ$154,HLOOKUP(INDIRECT(ADDRESS(2,COLUMN())),OFFSET($BN$2,0,0,ROW()-1,60),ROW()-1,FALSE))</f>
        <v>0.08</v>
      </c>
      <c r="AK12">
        <f ca="1">IF(AND(ISNUMBER($AK$154),$B$145=1),$AK$154,HLOOKUP(INDIRECT(ADDRESS(2,COLUMN())),OFFSET($BN$2,0,0,ROW()-1,60),ROW()-1,FALSE))</f>
        <v>8.3000000000000004E-2</v>
      </c>
      <c r="AL12">
        <f ca="1">IF(AND(ISNUMBER($AL$154),$B$145=1),$AL$154,HLOOKUP(INDIRECT(ADDRESS(2,COLUMN())),OFFSET($BN$2,0,0,ROW()-1,60),ROW()-1,FALSE))</f>
        <v>9.8000000000000004E-2</v>
      </c>
      <c r="AM12">
        <f ca="1">IF(AND(ISNUMBER($AM$154),$B$145=1),$AM$154,HLOOKUP(INDIRECT(ADDRESS(2,COLUMN())),OFFSET($BN$2,0,0,ROW()-1,60),ROW()-1,FALSE))</f>
        <v>0.125</v>
      </c>
      <c r="AN12">
        <f ca="1">IF(AND(ISNUMBER($AN$154),$B$145=1),$AN$154,HLOOKUP(INDIRECT(ADDRESS(2,COLUMN())),OFFSET($BN$2,0,0,ROW()-1,60),ROW()-1,FALSE))</f>
        <v>0.156</v>
      </c>
      <c r="AO12">
        <f ca="1">IF(AND(ISNUMBER($AO$154),$B$145=1),$AO$154,HLOOKUP(INDIRECT(ADDRESS(2,COLUMN())),OFFSET($BN$2,0,0,ROW()-1,60),ROW()-1,FALSE))</f>
        <v>0.19400000000000001</v>
      </c>
      <c r="AP12">
        <f ca="1">IF(AND(ISNUMBER($AP$154),$B$145=1),$AP$154,HLOOKUP(INDIRECT(ADDRESS(2,COLUMN())),OFFSET($BN$2,0,0,ROW()-1,60),ROW()-1,FALSE))</f>
        <v>0.255</v>
      </c>
      <c r="AQ12">
        <f ca="1">IF(AND(ISNUMBER($AQ$154),$B$145=1),$AQ$154,HLOOKUP(INDIRECT(ADDRESS(2,COLUMN())),OFFSET($BN$2,0,0,ROW()-1,60),ROW()-1,FALSE))</f>
        <v>0.30099999999999999</v>
      </c>
      <c r="AR12">
        <f ca="1">IF(AND(ISNUMBER($AR$154),$B$145=1),$AR$154,HLOOKUP(INDIRECT(ADDRESS(2,COLUMN())),OFFSET($BN$2,0,0,ROW()-1,60),ROW()-1,FALSE))</f>
        <v>0.35099999999999998</v>
      </c>
      <c r="AS12">
        <f ca="1">IF(AND(ISNUMBER($AS$154),$B$145=1),$AS$154,HLOOKUP(INDIRECT(ADDRESS(2,COLUMN())),OFFSET($BN$2,0,0,ROW()-1,60),ROW()-1,FALSE))</f>
        <v>0.441</v>
      </c>
      <c r="AT12">
        <f ca="1">IF(AND(ISNUMBER($AT$154),$B$145=1),$AT$154,HLOOKUP(INDIRECT(ADDRESS(2,COLUMN())),OFFSET($BN$2,0,0,ROW()-1,60),ROW()-1,FALSE))</f>
        <v>0.51800000000000002</v>
      </c>
      <c r="AU12">
        <f ca="1">IF(AND(ISNUMBER($AU$154),$B$145=1),$AU$154,HLOOKUP(INDIRECT(ADDRESS(2,COLUMN())),OFFSET($BN$2,0,0,ROW()-1,60),ROW()-1,FALSE))</f>
        <v>0.60699999999999998</v>
      </c>
      <c r="AV12">
        <f ca="1">IF(AND(ISNUMBER($AV$154),$B$145=1),$AV$154,HLOOKUP(INDIRECT(ADDRESS(2,COLUMN())),OFFSET($BN$2,0,0,ROW()-1,60),ROW()-1,FALSE))</f>
        <v>0.69299999999999995</v>
      </c>
      <c r="AW12">
        <f ca="1">IF(AND(ISNUMBER($AW$154),$B$145=1),$AW$154,HLOOKUP(INDIRECT(ADDRESS(2,COLUMN())),OFFSET($BN$2,0,0,ROW()-1,60),ROW()-1,FALSE))</f>
        <v>0.78200000000000003</v>
      </c>
      <c r="AX12">
        <f ca="1">IF(AND(ISNUMBER($AX$154),$B$145=1),$AX$154,HLOOKUP(INDIRECT(ADDRESS(2,COLUMN())),OFFSET($BN$2,0,0,ROW()-1,60),ROW()-1,FALSE))</f>
        <v>0.90700000000000003</v>
      </c>
      <c r="AY12">
        <f ca="1">IF(AND(ISNUMBER($AY$154),$B$145=1),$AY$154,HLOOKUP(INDIRECT(ADDRESS(2,COLUMN())),OFFSET($BN$2,0,0,ROW()-1,60),ROW()-1,FALSE))</f>
        <v>1.0129999999999999</v>
      </c>
      <c r="AZ12">
        <f ca="1">IF(AND(ISNUMBER($AZ$154),$B$145=1),$AZ$154,HLOOKUP(INDIRECT(ADDRESS(2,COLUMN())),OFFSET($BN$2,0,0,ROW()-1,60),ROW()-1,FALSE))</f>
        <v>1.131</v>
      </c>
      <c r="BA12">
        <f ca="1">IF(AND(ISNUMBER($BA$154),$B$145=1),$BA$154,HLOOKUP(INDIRECT(ADDRESS(2,COLUMN())),OFFSET($BN$2,0,0,ROW()-1,60),ROW()-1,FALSE))</f>
        <v>1.2290000000000001</v>
      </c>
      <c r="BB12">
        <f ca="1">IF(AND(ISNUMBER($BB$154),$B$145=1),$BB$154,HLOOKUP(INDIRECT(ADDRESS(2,COLUMN())),OFFSET($BN$2,0,0,ROW()-1,60),ROW()-1,FALSE))</f>
        <v>1.3420000000000001</v>
      </c>
      <c r="BC12">
        <f ca="1">IF(AND(ISNUMBER($BC$154),$B$145=1),$BC$154,HLOOKUP(INDIRECT(ADDRESS(2,COLUMN())),OFFSET($BN$2,0,0,ROW()-1,60),ROW()-1,FALSE))</f>
        <v>1.4590000000000001</v>
      </c>
      <c r="BD12">
        <f ca="1">IF(AND(ISNUMBER($BD$154),$B$145=1),$BD$154,HLOOKUP(INDIRECT(ADDRESS(2,COLUMN())),OFFSET($BN$2,0,0,ROW()-1,60),ROW()-1,FALSE))</f>
        <v>1.5780000000000001</v>
      </c>
      <c r="BE12">
        <f ca="1">IF(AND(ISNUMBER($BE$154),$B$145=1),$BE$154,HLOOKUP(INDIRECT(ADDRESS(2,COLUMN())),OFFSET($BN$2,0,0,ROW()-1,60),ROW()-1,FALSE))</f>
        <v>1.6879999999999999</v>
      </c>
      <c r="BF12">
        <f ca="1">IF(AND(ISNUMBER($BF$154),$B$145=1),$BF$154,HLOOKUP(INDIRECT(ADDRESS(2,COLUMN())),OFFSET($BN$2,0,0,ROW()-1,60),ROW()-1,FALSE))</f>
        <v>1.8220000000000001</v>
      </c>
      <c r="BG12">
        <f ca="1">IF(AND(ISNUMBER($BG$154),$B$145=1),$BG$154,HLOOKUP(INDIRECT(ADDRESS(2,COLUMN())),OFFSET($BN$2,0,0,ROW()-1,60),ROW()-1,FALSE))</f>
        <v>1.9430000000000001</v>
      </c>
      <c r="BH12">
        <f ca="1">IF(AND(ISNUMBER($BH$154),$B$145=1),$BH$154,HLOOKUP(INDIRECT(ADDRESS(2,COLUMN())),OFFSET($BN$2,0,0,ROW()-1,60),ROW()-1,FALSE))</f>
        <v>2.0979999999999999</v>
      </c>
      <c r="BI12">
        <f ca="1">IF(AND(ISNUMBER($BI$154),$B$145=1),$BI$154,HLOOKUP(INDIRECT(ADDRESS(2,COLUMN())),OFFSET($BN$2,0,0,ROW()-1,60),ROW()-1,FALSE))</f>
        <v>2.3410000000000002</v>
      </c>
      <c r="BJ12">
        <f ca="1">IF(AND(ISNUMBER($BJ$154),$B$145=1),$BJ$154,HLOOKUP(INDIRECT(ADDRESS(2,COLUMN())),OFFSET($BN$2,0,0,ROW()-1,60),ROW()-1,FALSE))</f>
        <v>2.532</v>
      </c>
      <c r="BK12">
        <f ca="1">IF(AND(ISNUMBER($BK$154),$B$145=1),$BK$154,HLOOKUP(INDIRECT(ADDRESS(2,COLUMN())),OFFSET($BN$2,0,0,ROW()-1,60),ROW()-1,FALSE))</f>
        <v>2.645</v>
      </c>
      <c r="BL12">
        <f ca="1">IF(AND(ISNUMBER($BL$154),$B$145=1),$BL$154,HLOOKUP(INDIRECT(ADDRESS(2,COLUMN())),OFFSET($BN$2,0,0,ROW()-1,60),ROW()-1,FALSE))</f>
        <v>3.0840000000000001</v>
      </c>
      <c r="BM12" t="str">
        <f ca="1">IF(AND(ISNUMBER($BM$154),$B$145=1),$BM$154,HLOOKUP(INDIRECT(ADDRESS(2,COLUMN())),OFFSET($BN$2,0,0,ROW()-1,60),ROW()-1,FALSE))</f>
        <v/>
      </c>
      <c r="BN12">
        <f>10237</f>
        <v>10237</v>
      </c>
      <c r="BO12">
        <f>10390</f>
        <v>10390</v>
      </c>
      <c r="BP12">
        <f>10534</f>
        <v>10534</v>
      </c>
      <c r="BQ12">
        <f>10048</f>
        <v>10048</v>
      </c>
      <c r="BR12">
        <f>9976.937</f>
        <v>9976.9369999999999</v>
      </c>
      <c r="BS12">
        <f>10079.885</f>
        <v>10079.885</v>
      </c>
      <c r="BT12">
        <f>10198.782</f>
        <v>10198.781999999999</v>
      </c>
      <c r="BU12">
        <f>10379.163</f>
        <v>10379.163</v>
      </c>
      <c r="BV12">
        <f>10276.849</f>
        <v>10276.849</v>
      </c>
      <c r="BW12">
        <f>9658.312</f>
        <v>9658.3119999999999</v>
      </c>
      <c r="BX12">
        <f>9829.222</f>
        <v>9829.2219999999998</v>
      </c>
      <c r="BY12">
        <f>10069.648</f>
        <v>10069.647999999999</v>
      </c>
      <c r="BZ12">
        <f>3807.445</f>
        <v>3807.4450000000002</v>
      </c>
      <c r="CA12">
        <f>3379.069</f>
        <v>3379.069</v>
      </c>
      <c r="CB12">
        <f>3392.597</f>
        <v>3392.5970000000002</v>
      </c>
      <c r="CC12">
        <f>2806.092</f>
        <v>2806.0920000000001</v>
      </c>
      <c r="CD12">
        <f>2814.726</f>
        <v>2814.7260000000001</v>
      </c>
      <c r="CE12">
        <f>745.476</f>
        <v>745.476</v>
      </c>
      <c r="CF12">
        <f>771.872</f>
        <v>771.87199999999996</v>
      </c>
      <c r="CG12">
        <f>720.441</f>
        <v>720.44100000000003</v>
      </c>
      <c r="CH12">
        <f>0</f>
        <v>0</v>
      </c>
      <c r="CI12">
        <f>2115.141</f>
        <v>2115.1410000000001</v>
      </c>
      <c r="CJ12">
        <f>2182.5</f>
        <v>2182.5</v>
      </c>
      <c r="CK12">
        <f>2214.829</f>
        <v>2214.8290000000002</v>
      </c>
      <c r="CL12">
        <f>2184.653</f>
        <v>2184.6529999999998</v>
      </c>
      <c r="CM12">
        <f>2253.416</f>
        <v>2253.4160000000002</v>
      </c>
      <c r="CN12">
        <f>2299.774</f>
        <v>2299.7739999999999</v>
      </c>
      <c r="CO12">
        <f>0.074</f>
        <v>7.3999999999999996E-2</v>
      </c>
      <c r="CP12">
        <f>0.076</f>
        <v>7.5999999999999998E-2</v>
      </c>
      <c r="CQ12">
        <f>0.078</f>
        <v>7.8E-2</v>
      </c>
      <c r="CR12">
        <f>0.08</f>
        <v>0.08</v>
      </c>
      <c r="CS12">
        <f>0.083</f>
        <v>8.3000000000000004E-2</v>
      </c>
      <c r="CT12">
        <f>0.098</f>
        <v>9.8000000000000004E-2</v>
      </c>
      <c r="CU12">
        <f>0.125</f>
        <v>0.125</v>
      </c>
      <c r="CV12">
        <f>0.156</f>
        <v>0.156</v>
      </c>
      <c r="CW12">
        <f>0.194</f>
        <v>0.19400000000000001</v>
      </c>
      <c r="CX12">
        <f>0.255</f>
        <v>0.255</v>
      </c>
      <c r="CY12">
        <f>0.301</f>
        <v>0.30099999999999999</v>
      </c>
      <c r="CZ12">
        <f>0.351</f>
        <v>0.35099999999999998</v>
      </c>
      <c r="DA12">
        <f>0.441</f>
        <v>0.441</v>
      </c>
      <c r="DB12">
        <f>0.518</f>
        <v>0.51800000000000002</v>
      </c>
      <c r="DC12">
        <f>0.607</f>
        <v>0.60699999999999998</v>
      </c>
      <c r="DD12">
        <f>0.693</f>
        <v>0.69299999999999995</v>
      </c>
      <c r="DE12">
        <f>0.782</f>
        <v>0.78200000000000003</v>
      </c>
      <c r="DF12">
        <f>0.907</f>
        <v>0.90700000000000003</v>
      </c>
      <c r="DG12">
        <f>1.013</f>
        <v>1.0129999999999999</v>
      </c>
      <c r="DH12">
        <f>1.131</f>
        <v>1.131</v>
      </c>
      <c r="DI12">
        <f>1.229</f>
        <v>1.2290000000000001</v>
      </c>
      <c r="DJ12">
        <f>1.342</f>
        <v>1.3420000000000001</v>
      </c>
      <c r="DK12">
        <f>1.459</f>
        <v>1.4590000000000001</v>
      </c>
      <c r="DL12">
        <f>1.578</f>
        <v>1.5780000000000001</v>
      </c>
      <c r="DM12">
        <f>1.688</f>
        <v>1.6879999999999999</v>
      </c>
      <c r="DN12">
        <f>1.822</f>
        <v>1.8220000000000001</v>
      </c>
      <c r="DO12">
        <f>1.943</f>
        <v>1.9430000000000001</v>
      </c>
      <c r="DP12">
        <f>2.098</f>
        <v>2.0979999999999999</v>
      </c>
      <c r="DQ12">
        <f>2.341</f>
        <v>2.3410000000000002</v>
      </c>
      <c r="DR12">
        <f>2.532</f>
        <v>2.532</v>
      </c>
      <c r="DS12">
        <f>2.645</f>
        <v>2.645</v>
      </c>
      <c r="DT12">
        <f>3.084</f>
        <v>3.0840000000000001</v>
      </c>
      <c r="DU12" t="str">
        <f>""</f>
        <v/>
      </c>
    </row>
    <row r="13" spans="1:125" x14ac:dyDescent="0.25">
      <c r="A13" t="str">
        <f>"                Flagstar Financial Inc"</f>
        <v xml:space="preserve">                Flagstar Financial Inc</v>
      </c>
      <c r="B13" t="str">
        <f>"FLG US Equity"</f>
        <v>FLG US Equity</v>
      </c>
      <c r="C13" t="str">
        <f t="shared" si="0"/>
        <v>FC470</v>
      </c>
      <c r="D13" t="str">
        <f t="shared" si="1"/>
        <v>FDIC_SECS_HELD_TO_MTY_BOOK_VAL</v>
      </c>
      <c r="E13" t="str">
        <f t="shared" si="2"/>
        <v>Dynamic</v>
      </c>
      <c r="F13">
        <f ca="1">IF(AND(ISNUMBER($F$155),$B$145=1),$F$155,HLOOKUP(INDIRECT(ADDRESS(2,COLUMN())),OFFSET($BN$2,0,0,ROW()-1,60),ROW()-1,FALSE))</f>
        <v>0</v>
      </c>
      <c r="G13">
        <f ca="1">IF(AND(ISNUMBER($G$155),$B$145=1),$G$155,HLOOKUP(INDIRECT(ADDRESS(2,COLUMN())),OFFSET($BN$2,0,0,ROW()-1,60),ROW()-1,FALSE))</f>
        <v>0</v>
      </c>
      <c r="H13">
        <f ca="1">IF(AND(ISNUMBER($H$155),$B$145=1),$H$155,HLOOKUP(INDIRECT(ADDRESS(2,COLUMN())),OFFSET($BN$2,0,0,ROW()-1,60),ROW()-1,FALSE))</f>
        <v>0</v>
      </c>
      <c r="I13">
        <f ca="1">IF(AND(ISNUMBER($I$155),$B$145=1),$I$155,HLOOKUP(INDIRECT(ADDRESS(2,COLUMN())),OFFSET($BN$2,0,0,ROW()-1,60),ROW()-1,FALSE))</f>
        <v>0</v>
      </c>
      <c r="J13">
        <f ca="1">IF(AND(ISNUMBER($J$155),$B$145=1),$J$155,HLOOKUP(INDIRECT(ADDRESS(2,COLUMN())),OFFSET($BN$2,0,0,ROW()-1,60),ROW()-1,FALSE))</f>
        <v>0</v>
      </c>
      <c r="K13">
        <f ca="1">IF(AND(ISNUMBER($K$155),$B$145=1),$K$155,HLOOKUP(INDIRECT(ADDRESS(2,COLUMN())),OFFSET($BN$2,0,0,ROW()-1,60),ROW()-1,FALSE))</f>
        <v>0</v>
      </c>
      <c r="L13">
        <f ca="1">IF(AND(ISNUMBER($L$155),$B$145=1),$L$155,HLOOKUP(INDIRECT(ADDRESS(2,COLUMN())),OFFSET($BN$2,0,0,ROW()-1,60),ROW()-1,FALSE))</f>
        <v>0</v>
      </c>
      <c r="M13">
        <f ca="1">IF(AND(ISNUMBER($M$155),$B$145=1),$M$155,HLOOKUP(INDIRECT(ADDRESS(2,COLUMN())),OFFSET($BN$2,0,0,ROW()-1,60),ROW()-1,FALSE))</f>
        <v>0</v>
      </c>
      <c r="N13">
        <f ca="1">IF(AND(ISNUMBER($N$155),$B$145=1),$N$155,HLOOKUP(INDIRECT(ADDRESS(2,COLUMN())),OFFSET($BN$2,0,0,ROW()-1,60),ROW()-1,FALSE))</f>
        <v>0</v>
      </c>
      <c r="O13">
        <f ca="1">IF(AND(ISNUMBER($O$155),$B$145=1),$O$155,HLOOKUP(INDIRECT(ADDRESS(2,COLUMN())),OFFSET($BN$2,0,0,ROW()-1,60),ROW()-1,FALSE))</f>
        <v>0</v>
      </c>
      <c r="P13">
        <f ca="1">IF(AND(ISNUMBER($P$155),$B$145=1),$P$155,HLOOKUP(INDIRECT(ADDRESS(2,COLUMN())),OFFSET($BN$2,0,0,ROW()-1,60),ROW()-1,FALSE))</f>
        <v>0</v>
      </c>
      <c r="Q13">
        <f ca="1">IF(AND(ISNUMBER($Q$155),$B$145=1),$Q$155,HLOOKUP(INDIRECT(ADDRESS(2,COLUMN())),OFFSET($BN$2,0,0,ROW()-1,60),ROW()-1,FALSE))</f>
        <v>0</v>
      </c>
      <c r="R13">
        <f ca="1">IF(AND(ISNUMBER($R$155),$B$145=1),$R$155,HLOOKUP(INDIRECT(ADDRESS(2,COLUMN())),OFFSET($BN$2,0,0,ROW()-1,60),ROW()-1,FALSE))</f>
        <v>0</v>
      </c>
      <c r="S13">
        <f ca="1">IF(AND(ISNUMBER($S$155),$B$145=1),$S$155,HLOOKUP(INDIRECT(ADDRESS(2,COLUMN())),OFFSET($BN$2,0,0,ROW()-1,60),ROW()-1,FALSE))</f>
        <v>0</v>
      </c>
      <c r="T13">
        <f ca="1">IF(AND(ISNUMBER($T$155),$B$145=1),$T$155,HLOOKUP(INDIRECT(ADDRESS(2,COLUMN())),OFFSET($BN$2,0,0,ROW()-1,60),ROW()-1,FALSE))</f>
        <v>0</v>
      </c>
      <c r="U13">
        <f ca="1">IF(AND(ISNUMBER($U$155),$B$145=1),$U$155,HLOOKUP(INDIRECT(ADDRESS(2,COLUMN())),OFFSET($BN$2,0,0,ROW()-1,60),ROW()-1,FALSE))</f>
        <v>0</v>
      </c>
      <c r="V13">
        <f ca="1">IF(AND(ISNUMBER($V$155),$B$145=1),$V$155,HLOOKUP(INDIRECT(ADDRESS(2,COLUMN())),OFFSET($BN$2,0,0,ROW()-1,60),ROW()-1,FALSE))</f>
        <v>0</v>
      </c>
      <c r="W13">
        <f ca="1">IF(AND(ISNUMBER($W$155),$B$145=1),$W$155,HLOOKUP(INDIRECT(ADDRESS(2,COLUMN())),OFFSET($BN$2,0,0,ROW()-1,60),ROW()-1,FALSE))</f>
        <v>0</v>
      </c>
      <c r="X13">
        <f ca="1">IF(AND(ISNUMBER($X$155),$B$145=1),$X$155,HLOOKUP(INDIRECT(ADDRESS(2,COLUMN())),OFFSET($BN$2,0,0,ROW()-1,60),ROW()-1,FALSE))</f>
        <v>0</v>
      </c>
      <c r="Y13">
        <f ca="1">IF(AND(ISNUMBER($Y$155),$B$145=1),$Y$155,HLOOKUP(INDIRECT(ADDRESS(2,COLUMN())),OFFSET($BN$2,0,0,ROW()-1,60),ROW()-1,FALSE))</f>
        <v>0</v>
      </c>
      <c r="Z13">
        <f ca="1">IF(AND(ISNUMBER($Z$155),$B$145=1),$Z$155,HLOOKUP(INDIRECT(ADDRESS(2,COLUMN())),OFFSET($BN$2,0,0,ROW()-1,60),ROW()-1,FALSE))</f>
        <v>0</v>
      </c>
      <c r="AA13">
        <f ca="1">IF(AND(ISNUMBER($AA$155),$B$145=1),$AA$155,HLOOKUP(INDIRECT(ADDRESS(2,COLUMN())),OFFSET($BN$2,0,0,ROW()-1,60),ROW()-1,FALSE))</f>
        <v>0</v>
      </c>
      <c r="AB13">
        <f ca="1">IF(AND(ISNUMBER($AB$155),$B$145=1),$AB$155,HLOOKUP(INDIRECT(ADDRESS(2,COLUMN())),OFFSET($BN$2,0,0,ROW()-1,60),ROW()-1,FALSE))</f>
        <v>0</v>
      </c>
      <c r="AC13">
        <f ca="1">IF(AND(ISNUMBER($AC$155),$B$145=1),$AC$155,HLOOKUP(INDIRECT(ADDRESS(2,COLUMN())),OFFSET($BN$2,0,0,ROW()-1,60),ROW()-1,FALSE))</f>
        <v>0</v>
      </c>
      <c r="AD13">
        <f ca="1">IF(AND(ISNUMBER($AD$155),$B$145=1),$AD$155,HLOOKUP(INDIRECT(ADDRESS(2,COLUMN())),OFFSET($BN$2,0,0,ROW()-1,60),ROW()-1,FALSE))</f>
        <v>0</v>
      </c>
      <c r="AE13">
        <f ca="1">IF(AND(ISNUMBER($AE$155),$B$145=1),$AE$155,HLOOKUP(INDIRECT(ADDRESS(2,COLUMN())),OFFSET($BN$2,0,0,ROW()-1,60),ROW()-1,FALSE))</f>
        <v>0</v>
      </c>
      <c r="AF13">
        <f ca="1">IF(AND(ISNUMBER($AF$155),$B$145=1),$AF$155,HLOOKUP(INDIRECT(ADDRESS(2,COLUMN())),OFFSET($BN$2,0,0,ROW()-1,60),ROW()-1,FALSE))</f>
        <v>0</v>
      </c>
      <c r="AG13">
        <f ca="1">IF(AND(ISNUMBER($AG$155),$B$145=1),$AG$155,HLOOKUP(INDIRECT(ADDRESS(2,COLUMN())),OFFSET($BN$2,0,0,ROW()-1,60),ROW()-1,FALSE))</f>
        <v>0</v>
      </c>
      <c r="AH13">
        <f ca="1">IF(AND(ISNUMBER($AH$155),$B$145=1),$AH$155,HLOOKUP(INDIRECT(ADDRESS(2,COLUMN())),OFFSET($BN$2,0,0,ROW()-1,60),ROW()-1,FALSE))</f>
        <v>0</v>
      </c>
      <c r="AI13">
        <f ca="1">IF(AND(ISNUMBER($AI$155),$B$145=1),$AI$155,HLOOKUP(INDIRECT(ADDRESS(2,COLUMN())),OFFSET($BN$2,0,0,ROW()-1,60),ROW()-1,FALSE))</f>
        <v>0</v>
      </c>
      <c r="AJ13">
        <f ca="1">IF(AND(ISNUMBER($AJ$155),$B$145=1),$AJ$155,HLOOKUP(INDIRECT(ADDRESS(2,COLUMN())),OFFSET($BN$2,0,0,ROW()-1,60),ROW()-1,FALSE))</f>
        <v>0</v>
      </c>
      <c r="AK13">
        <f ca="1">IF(AND(ISNUMBER($AK$155),$B$145=1),$AK$155,HLOOKUP(INDIRECT(ADDRESS(2,COLUMN())),OFFSET($BN$2,0,0,ROW()-1,60),ROW()-1,FALSE))</f>
        <v>3642.1039999999998</v>
      </c>
      <c r="AL13">
        <f ca="1">IF(AND(ISNUMBER($AL$155),$B$145=1),$AL$155,HLOOKUP(INDIRECT(ADDRESS(2,COLUMN())),OFFSET($BN$2,0,0,ROW()-1,60),ROW()-1,FALSE))</f>
        <v>3712.7759999999998</v>
      </c>
      <c r="AM13">
        <f ca="1">IF(AND(ISNUMBER($AM$155),$B$145=1),$AM$155,HLOOKUP(INDIRECT(ADDRESS(2,COLUMN())),OFFSET($BN$2,0,0,ROW()-1,60),ROW()-1,FALSE))</f>
        <v>3651.9250000000002</v>
      </c>
      <c r="AN13">
        <f ca="1">IF(AND(ISNUMBER($AN$155),$B$145=1),$AN$155,HLOOKUP(INDIRECT(ADDRESS(2,COLUMN())),OFFSET($BN$2,0,0,ROW()-1,60),ROW()-1,FALSE))</f>
        <v>3822.5610000000001</v>
      </c>
      <c r="AO13">
        <f ca="1">IF(AND(ISNUMBER($AO$155),$B$145=1),$AO$155,HLOOKUP(INDIRECT(ADDRESS(2,COLUMN())),OFFSET($BN$2,0,0,ROW()-1,60),ROW()-1,FALSE))</f>
        <v>4068.75</v>
      </c>
      <c r="AP13">
        <f ca="1">IF(AND(ISNUMBER($AP$155),$B$145=1),$AP$155,HLOOKUP(INDIRECT(ADDRESS(2,COLUMN())),OFFSET($BN$2,0,0,ROW()-1,60),ROW()-1,FALSE))</f>
        <v>5969.39</v>
      </c>
      <c r="AQ13">
        <f ca="1">IF(AND(ISNUMBER($AQ$155),$B$145=1),$AQ$155,HLOOKUP(INDIRECT(ADDRESS(2,COLUMN())),OFFSET($BN$2,0,0,ROW()-1,60),ROW()-1,FALSE))</f>
        <v>6597.2839999999997</v>
      </c>
      <c r="AR13">
        <f ca="1">IF(AND(ISNUMBER($AR$155),$B$145=1),$AR$155,HLOOKUP(INDIRECT(ADDRESS(2,COLUMN())),OFFSET($BN$2,0,0,ROW()-1,60),ROW()-1,FALSE))</f>
        <v>6658.3620000000001</v>
      </c>
      <c r="AS13">
        <f ca="1">IF(AND(ISNUMBER($AS$155),$B$145=1),$AS$155,HLOOKUP(INDIRECT(ADDRESS(2,COLUMN())),OFFSET($BN$2,0,0,ROW()-1,60),ROW()-1,FALSE))</f>
        <v>6784.8810000000003</v>
      </c>
      <c r="AT13">
        <f ca="1">IF(AND(ISNUMBER($AT$155),$B$145=1),$AT$155,HLOOKUP(INDIRECT(ADDRESS(2,COLUMN())),OFFSET($BN$2,0,0,ROW()-1,60),ROW()-1,FALSE))</f>
        <v>6922.6660000000002</v>
      </c>
      <c r="AU13">
        <f ca="1">IF(AND(ISNUMBER($AU$155),$B$145=1),$AU$155,HLOOKUP(INDIRECT(ADDRESS(2,COLUMN())),OFFSET($BN$2,0,0,ROW()-1,60),ROW()-1,FALSE))</f>
        <v>7268.2439999999997</v>
      </c>
      <c r="AV13">
        <f ca="1">IF(AND(ISNUMBER($AV$155),$B$145=1),$AV$155,HLOOKUP(INDIRECT(ADDRESS(2,COLUMN())),OFFSET($BN$2,0,0,ROW()-1,60),ROW()-1,FALSE))</f>
        <v>7547.9110000000001</v>
      </c>
      <c r="AW13">
        <f ca="1">IF(AND(ISNUMBER($AW$155),$B$145=1),$AW$155,HLOOKUP(INDIRECT(ADDRESS(2,COLUMN())),OFFSET($BN$2,0,0,ROW()-1,60),ROW()-1,FALSE))</f>
        <v>7707.0919999999996</v>
      </c>
      <c r="AX13">
        <f ca="1">IF(AND(ISNUMBER($AX$155),$B$145=1),$AX$155,HLOOKUP(INDIRECT(ADDRESS(2,COLUMN())),OFFSET($BN$2,0,0,ROW()-1,60),ROW()-1,FALSE))</f>
        <v>7670.2820000000002</v>
      </c>
      <c r="AY13">
        <f ca="1">IF(AND(ISNUMBER($AY$155),$B$145=1),$AY$155,HLOOKUP(INDIRECT(ADDRESS(2,COLUMN())),OFFSET($BN$2,0,0,ROW()-1,60),ROW()-1,FALSE))</f>
        <v>6777.7160000000003</v>
      </c>
      <c r="AZ13">
        <f ca="1">IF(AND(ISNUMBER($AZ$155),$B$145=1),$AZ$155,HLOOKUP(INDIRECT(ADDRESS(2,COLUMN())),OFFSET($BN$2,0,0,ROW()-1,60),ROW()-1,FALSE))</f>
        <v>5626.6049999999996</v>
      </c>
      <c r="BA13">
        <f ca="1">IF(AND(ISNUMBER($BA$155),$B$145=1),$BA$155,HLOOKUP(INDIRECT(ADDRESS(2,COLUMN())),OFFSET($BN$2,0,0,ROW()-1,60),ROW()-1,FALSE))</f>
        <v>5139.8270000000002</v>
      </c>
      <c r="BB13">
        <f ca="1">IF(AND(ISNUMBER($BB$155),$B$145=1),$BB$155,HLOOKUP(INDIRECT(ADDRESS(2,COLUMN())),OFFSET($BN$2,0,0,ROW()-1,60),ROW()-1,FALSE))</f>
        <v>4484.2619999999997</v>
      </c>
      <c r="BC13">
        <f ca="1">IF(AND(ISNUMBER($BC$155),$B$145=1),$BC$155,HLOOKUP(INDIRECT(ADDRESS(2,COLUMN())),OFFSET($BN$2,0,0,ROW()-1,60),ROW()-1,FALSE))</f>
        <v>4765.6940000000004</v>
      </c>
      <c r="BD13">
        <f ca="1">IF(AND(ISNUMBER($BD$155),$B$145=1),$BD$155,HLOOKUP(INDIRECT(ADDRESS(2,COLUMN())),OFFSET($BN$2,0,0,ROW()-1,60),ROW()-1,FALSE))</f>
        <v>3853.587</v>
      </c>
      <c r="BE13">
        <f ca="1">IF(AND(ISNUMBER($BE$155),$B$145=1),$BE$155,HLOOKUP(INDIRECT(ADDRESS(2,COLUMN())),OFFSET($BN$2,0,0,ROW()-1,60),ROW()-1,FALSE))</f>
        <v>4305.0709999999999</v>
      </c>
      <c r="BF13">
        <f ca="1">IF(AND(ISNUMBER($BF$155),$B$145=1),$BF$155,HLOOKUP(INDIRECT(ADDRESS(2,COLUMN())),OFFSET($BN$2,0,0,ROW()-1,60),ROW()-1,FALSE))</f>
        <v>3815.8539999999998</v>
      </c>
      <c r="BG13">
        <f ca="1">IF(AND(ISNUMBER($BG$155),$B$145=1),$BG$155,HLOOKUP(INDIRECT(ADDRESS(2,COLUMN())),OFFSET($BN$2,0,0,ROW()-1,60),ROW()-1,FALSE))</f>
        <v>4648.5519999999997</v>
      </c>
      <c r="BH13">
        <f ca="1">IF(AND(ISNUMBER($BH$155),$B$145=1),$BH$155,HLOOKUP(INDIRECT(ADDRESS(2,COLUMN())),OFFSET($BN$2,0,0,ROW()-1,60),ROW()-1,FALSE))</f>
        <v>5506.6450000000004</v>
      </c>
      <c r="BI13">
        <f ca="1">IF(AND(ISNUMBER($BI$155),$B$145=1),$BI$155,HLOOKUP(INDIRECT(ADDRESS(2,COLUMN())),OFFSET($BN$2,0,0,ROW()-1,60),ROW()-1,FALSE))</f>
        <v>4304.2190000000001</v>
      </c>
      <c r="BJ13">
        <f ca="1">IF(AND(ISNUMBER($BJ$155),$B$145=1),$BJ$155,HLOOKUP(INDIRECT(ADDRESS(2,COLUMN())),OFFSET($BN$2,0,0,ROW()-1,60),ROW()-1,FALSE))</f>
        <v>4135.9350000000004</v>
      </c>
      <c r="BK13">
        <f ca="1">IF(AND(ISNUMBER($BK$155),$B$145=1),$BK$155,HLOOKUP(INDIRECT(ADDRESS(2,COLUMN())),OFFSET($BN$2,0,0,ROW()-1,60),ROW()-1,FALSE))</f>
        <v>3997.7930000000001</v>
      </c>
      <c r="BL13">
        <f ca="1">IF(AND(ISNUMBER($BL$155),$B$145=1),$BL$155,HLOOKUP(INDIRECT(ADDRESS(2,COLUMN())),OFFSET($BN$2,0,0,ROW()-1,60),ROW()-1,FALSE))</f>
        <v>3765.3139999999999</v>
      </c>
      <c r="BM13" t="str">
        <f ca="1">IF(AND(ISNUMBER($BM$155),$B$145=1),$BM$155,HLOOKUP(INDIRECT(ADDRESS(2,COLUMN())),OFFSET($BN$2,0,0,ROW()-1,60),ROW()-1,FALSE))</f>
        <v/>
      </c>
      <c r="BN13">
        <f>0</f>
        <v>0</v>
      </c>
      <c r="BO13">
        <f>0</f>
        <v>0</v>
      </c>
      <c r="BP13">
        <f>0</f>
        <v>0</v>
      </c>
      <c r="BQ13">
        <f>0</f>
        <v>0</v>
      </c>
      <c r="BR13">
        <f>0</f>
        <v>0</v>
      </c>
      <c r="BS13">
        <f>0</f>
        <v>0</v>
      </c>
      <c r="BT13">
        <f>0</f>
        <v>0</v>
      </c>
      <c r="BU13">
        <f>0</f>
        <v>0</v>
      </c>
      <c r="BV13">
        <f>0</f>
        <v>0</v>
      </c>
      <c r="BW13">
        <f>0</f>
        <v>0</v>
      </c>
      <c r="BX13">
        <f>0</f>
        <v>0</v>
      </c>
      <c r="BY13">
        <f>0</f>
        <v>0</v>
      </c>
      <c r="BZ13">
        <f>0</f>
        <v>0</v>
      </c>
      <c r="CA13">
        <f>0</f>
        <v>0</v>
      </c>
      <c r="CB13">
        <f>0</f>
        <v>0</v>
      </c>
      <c r="CC13">
        <f>0</f>
        <v>0</v>
      </c>
      <c r="CD13">
        <f>0</f>
        <v>0</v>
      </c>
      <c r="CE13">
        <f>0</f>
        <v>0</v>
      </c>
      <c r="CF13">
        <f>0</f>
        <v>0</v>
      </c>
      <c r="CG13">
        <f>0</f>
        <v>0</v>
      </c>
      <c r="CH13">
        <f>0</f>
        <v>0</v>
      </c>
      <c r="CI13">
        <f>0</f>
        <v>0</v>
      </c>
      <c r="CJ13">
        <f>0</f>
        <v>0</v>
      </c>
      <c r="CK13">
        <f>0</f>
        <v>0</v>
      </c>
      <c r="CL13">
        <f>0</f>
        <v>0</v>
      </c>
      <c r="CM13">
        <f>0</f>
        <v>0</v>
      </c>
      <c r="CN13">
        <f>0</f>
        <v>0</v>
      </c>
      <c r="CO13">
        <f>0</f>
        <v>0</v>
      </c>
      <c r="CP13">
        <f>0</f>
        <v>0</v>
      </c>
      <c r="CQ13">
        <f>0</f>
        <v>0</v>
      </c>
      <c r="CR13">
        <f>0</f>
        <v>0</v>
      </c>
      <c r="CS13">
        <f>3642.104</f>
        <v>3642.1039999999998</v>
      </c>
      <c r="CT13">
        <f>3712.776</f>
        <v>3712.7759999999998</v>
      </c>
      <c r="CU13">
        <f>3651.925</f>
        <v>3651.9250000000002</v>
      </c>
      <c r="CV13">
        <f>3822.561</f>
        <v>3822.5610000000001</v>
      </c>
      <c r="CW13">
        <f>4068.75</f>
        <v>4068.75</v>
      </c>
      <c r="CX13">
        <f>5969.39</f>
        <v>5969.39</v>
      </c>
      <c r="CY13">
        <f>6597.284</f>
        <v>6597.2839999999997</v>
      </c>
      <c r="CZ13">
        <f>6658.362</f>
        <v>6658.3620000000001</v>
      </c>
      <c r="DA13">
        <f>6784.881</f>
        <v>6784.8810000000003</v>
      </c>
      <c r="DB13">
        <f>6922.666</f>
        <v>6922.6660000000002</v>
      </c>
      <c r="DC13">
        <f>7268.244</f>
        <v>7268.2439999999997</v>
      </c>
      <c r="DD13">
        <f>7547.911</f>
        <v>7547.9110000000001</v>
      </c>
      <c r="DE13">
        <f>7707.092</f>
        <v>7707.0919999999996</v>
      </c>
      <c r="DF13">
        <f>7670.282</f>
        <v>7670.2820000000002</v>
      </c>
      <c r="DG13">
        <f>6777.716</f>
        <v>6777.7160000000003</v>
      </c>
      <c r="DH13">
        <f>5626.605</f>
        <v>5626.6049999999996</v>
      </c>
      <c r="DI13">
        <f>5139.827</f>
        <v>5139.8270000000002</v>
      </c>
      <c r="DJ13">
        <f>4484.262</f>
        <v>4484.2619999999997</v>
      </c>
      <c r="DK13">
        <f>4765.694</f>
        <v>4765.6940000000004</v>
      </c>
      <c r="DL13">
        <f>3853.587</f>
        <v>3853.587</v>
      </c>
      <c r="DM13">
        <f>4305.071</f>
        <v>4305.0709999999999</v>
      </c>
      <c r="DN13">
        <f>3815.854</f>
        <v>3815.8539999999998</v>
      </c>
      <c r="DO13">
        <f>4648.552</f>
        <v>4648.5519999999997</v>
      </c>
      <c r="DP13">
        <f>5506.645</f>
        <v>5506.6450000000004</v>
      </c>
      <c r="DQ13">
        <f>4304.219</f>
        <v>4304.2190000000001</v>
      </c>
      <c r="DR13">
        <f>4135.935</f>
        <v>4135.9350000000004</v>
      </c>
      <c r="DS13">
        <f>3997.793</f>
        <v>3997.7930000000001</v>
      </c>
      <c r="DT13">
        <f>3765.314</f>
        <v>3765.3139999999999</v>
      </c>
      <c r="DU13" t="str">
        <f>""</f>
        <v/>
      </c>
    </row>
    <row r="14" spans="1:125" x14ac:dyDescent="0.25">
      <c r="A14" t="str">
        <f>"                Huntington Bancshares Inc/OH"</f>
        <v xml:space="preserve">                Huntington Bancshares Inc/OH</v>
      </c>
      <c r="B14" t="str">
        <f>"HBAN US Equity"</f>
        <v>HBAN US Equity</v>
      </c>
      <c r="C14" t="str">
        <f t="shared" si="0"/>
        <v>FC470</v>
      </c>
      <c r="D14" t="str">
        <f t="shared" si="1"/>
        <v>FDIC_SECS_HELD_TO_MTY_BOOK_VAL</v>
      </c>
      <c r="E14" t="str">
        <f t="shared" si="2"/>
        <v>Dynamic</v>
      </c>
      <c r="F14">
        <f ca="1">IF(AND(ISNUMBER($F$156),$B$145=1),$F$156,HLOOKUP(INDIRECT(ADDRESS(2,COLUMN())),OFFSET($BN$2,0,0,ROW()-1,60),ROW()-1,FALSE))</f>
        <v>16368.063</v>
      </c>
      <c r="G14">
        <f ca="1">IF(AND(ISNUMBER($G$156),$B$145=1),$G$156,HLOOKUP(INDIRECT(ADDRESS(2,COLUMN())),OFFSET($BN$2,0,0,ROW()-1,60),ROW()-1,FALSE))</f>
        <v>15670.222</v>
      </c>
      <c r="H14">
        <f ca="1">IF(AND(ISNUMBER($H$156),$B$145=1),$H$156,HLOOKUP(INDIRECT(ADDRESS(2,COLUMN())),OFFSET($BN$2,0,0,ROW()-1,60),ROW()-1,FALSE))</f>
        <v>15036.319</v>
      </c>
      <c r="I14">
        <f ca="1">IF(AND(ISNUMBER($I$156),$B$145=1),$I$156,HLOOKUP(INDIRECT(ADDRESS(2,COLUMN())),OFFSET($BN$2,0,0,ROW()-1,60),ROW()-1,FALSE))</f>
        <v>15416.141</v>
      </c>
      <c r="J14">
        <f ca="1">IF(AND(ISNUMBER($J$156),$B$145=1),$J$156,HLOOKUP(INDIRECT(ADDRESS(2,COLUMN())),OFFSET($BN$2,0,0,ROW()-1,60),ROW()-1,FALSE))</f>
        <v>15749.843999999999</v>
      </c>
      <c r="K14">
        <f ca="1">IF(AND(ISNUMBER($K$156),$B$145=1),$K$156,HLOOKUP(INDIRECT(ADDRESS(2,COLUMN())),OFFSET($BN$2,0,0,ROW()-1,60),ROW()-1,FALSE))</f>
        <v>16147.807000000001</v>
      </c>
      <c r="L14">
        <f ca="1">IF(AND(ISNUMBER($L$156),$B$145=1),$L$156,HLOOKUP(INDIRECT(ADDRESS(2,COLUMN())),OFFSET($BN$2,0,0,ROW()-1,60),ROW()-1,FALSE))</f>
        <v>16578.154999999999</v>
      </c>
      <c r="M14">
        <f ca="1">IF(AND(ISNUMBER($M$156),$B$145=1),$M$156,HLOOKUP(INDIRECT(ADDRESS(2,COLUMN())),OFFSET($BN$2,0,0,ROW()-1,60),ROW()-1,FALSE))</f>
        <v>16977.431</v>
      </c>
      <c r="N14">
        <f ca="1">IF(AND(ISNUMBER($N$156),$B$145=1),$N$156,HLOOKUP(INDIRECT(ADDRESS(2,COLUMN())),OFFSET($BN$2,0,0,ROW()-1,60),ROW()-1,FALSE))</f>
        <v>17051.511999999999</v>
      </c>
      <c r="O14">
        <f ca="1">IF(AND(ISNUMBER($O$156),$B$145=1),$O$156,HLOOKUP(INDIRECT(ADDRESS(2,COLUMN())),OFFSET($BN$2,0,0,ROW()-1,60),ROW()-1,FALSE))</f>
        <v>17173.244999999999</v>
      </c>
      <c r="P14">
        <f ca="1">IF(AND(ISNUMBER($P$156),$B$145=1),$P$156,HLOOKUP(INDIRECT(ADDRESS(2,COLUMN())),OFFSET($BN$2,0,0,ROW()-1,60),ROW()-1,FALSE))</f>
        <v>17355.256000000001</v>
      </c>
      <c r="Q14">
        <f ca="1">IF(AND(ISNUMBER($Q$156),$B$145=1),$Q$156,HLOOKUP(INDIRECT(ADDRESS(2,COLUMN())),OFFSET($BN$2,0,0,ROW()-1,60),ROW()-1,FALSE))</f>
        <v>17189.989000000001</v>
      </c>
      <c r="R14">
        <f ca="1">IF(AND(ISNUMBER($R$156),$B$145=1),$R$156,HLOOKUP(INDIRECT(ADDRESS(2,COLUMN())),OFFSET($BN$2,0,0,ROW()-1,60),ROW()-1,FALSE))</f>
        <v>12446.603999999999</v>
      </c>
      <c r="S14">
        <f ca="1">IF(AND(ISNUMBER($S$156),$B$145=1),$S$156,HLOOKUP(INDIRECT(ADDRESS(2,COLUMN())),OFFSET($BN$2,0,0,ROW()-1,60),ROW()-1,FALSE))</f>
        <v>12454.611999999999</v>
      </c>
      <c r="T14">
        <f ca="1">IF(AND(ISNUMBER($T$156),$B$145=1),$T$156,HLOOKUP(INDIRECT(ADDRESS(2,COLUMN())),OFFSET($BN$2,0,0,ROW()-1,60),ROW()-1,FALSE))</f>
        <v>11415</v>
      </c>
      <c r="U14">
        <f ca="1">IF(AND(ISNUMBER($U$156),$B$145=1),$U$156,HLOOKUP(INDIRECT(ADDRESS(2,COLUMN())),OFFSET($BN$2,0,0,ROW()-1,60),ROW()-1,FALSE))</f>
        <v>7814.8990000000003</v>
      </c>
      <c r="V14">
        <f ca="1">IF(AND(ISNUMBER($V$156),$B$145=1),$V$156,HLOOKUP(INDIRECT(ADDRESS(2,COLUMN())),OFFSET($BN$2,0,0,ROW()-1,60),ROW()-1,FALSE))</f>
        <v>8861.0889999999999</v>
      </c>
      <c r="W14">
        <f ca="1">IF(AND(ISNUMBER($W$156),$B$145=1),$W$156,HLOOKUP(INDIRECT(ADDRESS(2,COLUMN())),OFFSET($BN$2,0,0,ROW()-1,60),ROW()-1,FALSE))</f>
        <v>8556.9169999999995</v>
      </c>
      <c r="X14">
        <f ca="1">IF(AND(ISNUMBER($X$156),$B$145=1),$X$156,HLOOKUP(INDIRECT(ADDRESS(2,COLUMN())),OFFSET($BN$2,0,0,ROW()-1,60),ROW()-1,FALSE))</f>
        <v>9415.7029999999995</v>
      </c>
      <c r="Y14">
        <f ca="1">IF(AND(ISNUMBER($Y$156),$B$145=1),$Y$156,HLOOKUP(INDIRECT(ADDRESS(2,COLUMN())),OFFSET($BN$2,0,0,ROW()-1,60),ROW()-1,FALSE))</f>
        <v>10192.565000000001</v>
      </c>
      <c r="Z14">
        <f ca="1">IF(AND(ISNUMBER($Z$156),$B$145=1),$Z$156,HLOOKUP(INDIRECT(ADDRESS(2,COLUMN())),OFFSET($BN$2,0,0,ROW()-1,60),ROW()-1,FALSE))</f>
        <v>9069.6</v>
      </c>
      <c r="AA14">
        <f ca="1">IF(AND(ISNUMBER($AA$156),$B$145=1),$AA$156,HLOOKUP(INDIRECT(ADDRESS(2,COLUMN())),OFFSET($BN$2,0,0,ROW()-1,60),ROW()-1,FALSE))</f>
        <v>8429.5409999999993</v>
      </c>
      <c r="AB14">
        <f ca="1">IF(AND(ISNUMBER($AB$156),$B$145=1),$AB$156,HLOOKUP(INDIRECT(ADDRESS(2,COLUMN())),OFFSET($BN$2,0,0,ROW()-1,60),ROW()-1,FALSE))</f>
        <v>8704.3909999999996</v>
      </c>
      <c r="AC14">
        <f ca="1">IF(AND(ISNUMBER($AC$156),$B$145=1),$AC$156,HLOOKUP(INDIRECT(ADDRESS(2,COLUMN())),OFFSET($BN$2,0,0,ROW()-1,60),ROW()-1,FALSE))</f>
        <v>8747.24</v>
      </c>
      <c r="AD14">
        <f ca="1">IF(AND(ISNUMBER($AD$156),$B$145=1),$AD$156,HLOOKUP(INDIRECT(ADDRESS(2,COLUMN())),OFFSET($BN$2,0,0,ROW()-1,60),ROW()-1,FALSE))</f>
        <v>8564.6409999999996</v>
      </c>
      <c r="AE14">
        <f ca="1">IF(AND(ISNUMBER($AE$156),$B$145=1),$AE$156,HLOOKUP(INDIRECT(ADDRESS(2,COLUMN())),OFFSET($BN$2,0,0,ROW()-1,60),ROW()-1,FALSE))</f>
        <v>8465.2829999999994</v>
      </c>
      <c r="AF14">
        <f ca="1">IF(AND(ISNUMBER($AF$156),$B$145=1),$AF$156,HLOOKUP(INDIRECT(ADDRESS(2,COLUMN())),OFFSET($BN$2,0,0,ROW()-1,60),ROW()-1,FALSE))</f>
        <v>8681.6669999999995</v>
      </c>
      <c r="AG14">
        <f ca="1">IF(AND(ISNUMBER($AG$156),$B$145=1),$AG$156,HLOOKUP(INDIRECT(ADDRESS(2,COLUMN())),OFFSET($BN$2,0,0,ROW()-1,60),ROW()-1,FALSE))</f>
        <v>8788.7610000000004</v>
      </c>
      <c r="AH14">
        <f ca="1">IF(AND(ISNUMBER($AH$156),$B$145=1),$AH$156,HLOOKUP(INDIRECT(ADDRESS(2,COLUMN())),OFFSET($BN$2,0,0,ROW()-1,60),ROW()-1,FALSE))</f>
        <v>9090.9500000000007</v>
      </c>
      <c r="AI14">
        <f ca="1">IF(AND(ISNUMBER($AI$156),$B$145=1),$AI$156,HLOOKUP(INDIRECT(ADDRESS(2,COLUMN())),OFFSET($BN$2,0,0,ROW()-1,60),ROW()-1,FALSE))</f>
        <v>8688.3989999999994</v>
      </c>
      <c r="AJ14">
        <f ca="1">IF(AND(ISNUMBER($AJ$156),$B$145=1),$AJ$156,HLOOKUP(INDIRECT(ADDRESS(2,COLUMN())),OFFSET($BN$2,0,0,ROW()-1,60),ROW()-1,FALSE))</f>
        <v>8279.5769999999993</v>
      </c>
      <c r="AK14">
        <f ca="1">IF(AND(ISNUMBER($AK$156),$B$145=1),$AK$156,HLOOKUP(INDIRECT(ADDRESS(2,COLUMN())),OFFSET($BN$2,0,0,ROW()-1,60),ROW()-1,FALSE))</f>
        <v>7533.5169999999998</v>
      </c>
      <c r="AL14">
        <f ca="1">IF(AND(ISNUMBER($AL$156),$B$145=1),$AL$156,HLOOKUP(INDIRECT(ADDRESS(2,COLUMN())),OFFSET($BN$2,0,0,ROW()-1,60),ROW()-1,FALSE))</f>
        <v>7806.9390000000003</v>
      </c>
      <c r="AM14">
        <f ca="1">IF(AND(ISNUMBER($AM$156),$B$145=1),$AM$156,HLOOKUP(INDIRECT(ADDRESS(2,COLUMN())),OFFSET($BN$2,0,0,ROW()-1,60),ROW()-1,FALSE))</f>
        <v>5301.3869999999997</v>
      </c>
      <c r="AN14">
        <f ca="1">IF(AND(ISNUMBER($AN$156),$B$145=1),$AN$156,HLOOKUP(INDIRECT(ADDRESS(2,COLUMN())),OFFSET($BN$2,0,0,ROW()-1,60),ROW()-1,FALSE))</f>
        <v>5658.5649999999996</v>
      </c>
      <c r="AO14">
        <f ca="1">IF(AND(ISNUMBER($AO$156),$B$145=1),$AO$156,HLOOKUP(INDIRECT(ADDRESS(2,COLUMN())),OFFSET($BN$2,0,0,ROW()-1,60),ROW()-1,FALSE))</f>
        <v>5946.1440000000002</v>
      </c>
      <c r="AP14">
        <f ca="1">IF(AND(ISNUMBER($AP$156),$B$145=1),$AP$156,HLOOKUP(INDIRECT(ADDRESS(2,COLUMN())),OFFSET($BN$2,0,0,ROW()-1,60),ROW()-1,FALSE))</f>
        <v>6159.59</v>
      </c>
      <c r="AQ14">
        <f ca="1">IF(AND(ISNUMBER($AQ$156),$B$145=1),$AQ$156,HLOOKUP(INDIRECT(ADDRESS(2,COLUMN())),OFFSET($BN$2,0,0,ROW()-1,60),ROW()-1,FALSE))</f>
        <v>3157.6880000000001</v>
      </c>
      <c r="AR14">
        <f ca="1">IF(AND(ISNUMBER($AR$156),$B$145=1),$AR$156,HLOOKUP(INDIRECT(ADDRESS(2,COLUMN())),OFFSET($BN$2,0,0,ROW()-1,60),ROW()-1,FALSE))</f>
        <v>3304.16</v>
      </c>
      <c r="AS14">
        <f ca="1">IF(AND(ISNUMBER($AS$156),$B$145=1),$AS$156,HLOOKUP(INDIRECT(ADDRESS(2,COLUMN())),OFFSET($BN$2,0,0,ROW()-1,60),ROW()-1,FALSE))</f>
        <v>3336.663</v>
      </c>
      <c r="AT14">
        <f ca="1">IF(AND(ISNUMBER($AT$156),$B$145=1),$AT$156,HLOOKUP(INDIRECT(ADDRESS(2,COLUMN())),OFFSET($BN$2,0,0,ROW()-1,60),ROW()-1,FALSE))</f>
        <v>3379.9050000000002</v>
      </c>
      <c r="AU14">
        <f ca="1">IF(AND(ISNUMBER($AU$156),$B$145=1),$AU$156,HLOOKUP(INDIRECT(ADDRESS(2,COLUMN())),OFFSET($BN$2,0,0,ROW()-1,60),ROW()-1,FALSE))</f>
        <v>3496.4929999999999</v>
      </c>
      <c r="AV14">
        <f ca="1">IF(AND(ISNUMBER($AV$156),$B$145=1),$AV$156,HLOOKUP(INDIRECT(ADDRESS(2,COLUMN())),OFFSET($BN$2,0,0,ROW()-1,60),ROW()-1,FALSE))</f>
        <v>3621.9949999999999</v>
      </c>
      <c r="AW14">
        <f ca="1">IF(AND(ISNUMBER($AW$156),$B$145=1),$AW$156,HLOOKUP(INDIRECT(ADDRESS(2,COLUMN())),OFFSET($BN$2,0,0,ROW()-1,60),ROW()-1,FALSE))</f>
        <v>3734.723</v>
      </c>
      <c r="AX14">
        <f ca="1">IF(AND(ISNUMBER($AX$156),$B$145=1),$AX$156,HLOOKUP(INDIRECT(ADDRESS(2,COLUMN())),OFFSET($BN$2,0,0,ROW()-1,60),ROW()-1,FALSE))</f>
        <v>3836.6669999999999</v>
      </c>
      <c r="AY14">
        <f ca="1">IF(AND(ISNUMBER($AY$156),$B$145=1),$AY$156,HLOOKUP(INDIRECT(ADDRESS(2,COLUMN())),OFFSET($BN$2,0,0,ROW()-1,60),ROW()-1,FALSE))</f>
        <v>2236.1210000000001</v>
      </c>
      <c r="AZ14">
        <f ca="1">IF(AND(ISNUMBER($AZ$156),$B$145=1),$AZ$156,HLOOKUP(INDIRECT(ADDRESS(2,COLUMN())),OFFSET($BN$2,0,0,ROW()-1,60),ROW()-1,FALSE))</f>
        <v>2172.2289999999998</v>
      </c>
      <c r="BA14">
        <f ca="1">IF(AND(ISNUMBER($BA$156),$B$145=1),$BA$156,HLOOKUP(INDIRECT(ADDRESS(2,COLUMN())),OFFSET($BN$2,0,0,ROW()-1,60),ROW()-1,FALSE))</f>
        <v>1693.0740000000001</v>
      </c>
      <c r="BB14">
        <f ca="1">IF(AND(ISNUMBER($BB$156),$B$145=1),$BB$156,HLOOKUP(INDIRECT(ADDRESS(2,COLUMN())),OFFSET($BN$2,0,0,ROW()-1,60),ROW()-1,FALSE))</f>
        <v>1743.876</v>
      </c>
      <c r="BC14">
        <f ca="1">IF(AND(ISNUMBER($BC$156),$B$145=1),$BC$156,HLOOKUP(INDIRECT(ADDRESS(2,COLUMN())),OFFSET($BN$2,0,0,ROW()-1,60),ROW()-1,FALSE))</f>
        <v>1582.15</v>
      </c>
      <c r="BD14">
        <f ca="1">IF(AND(ISNUMBER($BD$156),$B$145=1),$BD$156,HLOOKUP(INDIRECT(ADDRESS(2,COLUMN())),OFFSET($BN$2,0,0,ROW()-1,60),ROW()-1,FALSE))</f>
        <v>598.38499999999999</v>
      </c>
      <c r="BE14">
        <f ca="1">IF(AND(ISNUMBER($BE$156),$B$145=1),$BE$156,HLOOKUP(INDIRECT(ADDRESS(2,COLUMN())),OFFSET($BN$2,0,0,ROW()-1,60),ROW()-1,FALSE))</f>
        <v>621.798</v>
      </c>
      <c r="BF14">
        <f ca="1">IF(AND(ISNUMBER($BF$156),$B$145=1),$BF$156,HLOOKUP(INDIRECT(ADDRESS(2,COLUMN())),OFFSET($BN$2,0,0,ROW()-1,60),ROW()-1,FALSE))</f>
        <v>640.55100000000004</v>
      </c>
      <c r="BG14">
        <f ca="1">IF(AND(ISNUMBER($BG$156),$B$145=1),$BG$156,HLOOKUP(INDIRECT(ADDRESS(2,COLUMN())),OFFSET($BN$2,0,0,ROW()-1,60),ROW()-1,FALSE))</f>
        <v>658.25</v>
      </c>
      <c r="BH14">
        <f ca="1">IF(AND(ISNUMBER($BH$156),$B$145=1),$BH$156,HLOOKUP(INDIRECT(ADDRESS(2,COLUMN())),OFFSET($BN$2,0,0,ROW()-1,60),ROW()-1,FALSE))</f>
        <v>670.47799999999995</v>
      </c>
      <c r="BI14">
        <f ca="1">IF(AND(ISNUMBER($BI$156),$B$145=1),$BI$156,HLOOKUP(INDIRECT(ADDRESS(2,COLUMN())),OFFSET($BN$2,0,0,ROW()-1,60),ROW()-1,FALSE))</f>
        <v>0</v>
      </c>
      <c r="BJ14">
        <f ca="1">IF(AND(ISNUMBER($BJ$156),$B$145=1),$BJ$156,HLOOKUP(INDIRECT(ADDRESS(2,COLUMN())),OFFSET($BN$2,0,0,ROW()-1,60),ROW()-1,FALSE))</f>
        <v>0</v>
      </c>
      <c r="BK14">
        <f ca="1">IF(AND(ISNUMBER($BK$156),$B$145=1),$BK$156,HLOOKUP(INDIRECT(ADDRESS(2,COLUMN())),OFFSET($BN$2,0,0,ROW()-1,60),ROW()-1,FALSE))</f>
        <v>0</v>
      </c>
      <c r="BL14">
        <f ca="1">IF(AND(ISNUMBER($BL$156),$B$145=1),$BL$156,HLOOKUP(INDIRECT(ADDRESS(2,COLUMN())),OFFSET($BN$2,0,0,ROW()-1,60),ROW()-1,FALSE))</f>
        <v>0</v>
      </c>
      <c r="BM14" t="str">
        <f ca="1">IF(AND(ISNUMBER($BM$156),$B$145=1),$BM$156,HLOOKUP(INDIRECT(ADDRESS(2,COLUMN())),OFFSET($BN$2,0,0,ROW()-1,60),ROW()-1,FALSE))</f>
        <v/>
      </c>
      <c r="BN14">
        <f>16368.063</f>
        <v>16368.063</v>
      </c>
      <c r="BO14">
        <f>15670.222</f>
        <v>15670.222</v>
      </c>
      <c r="BP14">
        <f>15036.319</f>
        <v>15036.319</v>
      </c>
      <c r="BQ14">
        <f>15416.141</f>
        <v>15416.141</v>
      </c>
      <c r="BR14">
        <f>15749.844</f>
        <v>15749.843999999999</v>
      </c>
      <c r="BS14">
        <f>16147.807</f>
        <v>16147.807000000001</v>
      </c>
      <c r="BT14">
        <f>16578.155</f>
        <v>16578.154999999999</v>
      </c>
      <c r="BU14">
        <f>16977.431</f>
        <v>16977.431</v>
      </c>
      <c r="BV14">
        <f>17051.512</f>
        <v>17051.511999999999</v>
      </c>
      <c r="BW14">
        <f>17173.245</f>
        <v>17173.244999999999</v>
      </c>
      <c r="BX14">
        <f>17355.256</f>
        <v>17355.256000000001</v>
      </c>
      <c r="BY14">
        <f>17189.989</f>
        <v>17189.989000000001</v>
      </c>
      <c r="BZ14">
        <f>12446.604</f>
        <v>12446.603999999999</v>
      </c>
      <c r="CA14">
        <f>12454.612</f>
        <v>12454.611999999999</v>
      </c>
      <c r="CB14">
        <f>11415</f>
        <v>11415</v>
      </c>
      <c r="CC14">
        <f>7814.899</f>
        <v>7814.8990000000003</v>
      </c>
      <c r="CD14">
        <f>8861.089</f>
        <v>8861.0889999999999</v>
      </c>
      <c r="CE14">
        <f>8556.917</f>
        <v>8556.9169999999995</v>
      </c>
      <c r="CF14">
        <f>9415.703</f>
        <v>9415.7029999999995</v>
      </c>
      <c r="CG14">
        <f>10192.565</f>
        <v>10192.565000000001</v>
      </c>
      <c r="CH14">
        <f>9069.6</f>
        <v>9069.6</v>
      </c>
      <c r="CI14">
        <f>8429.541</f>
        <v>8429.5409999999993</v>
      </c>
      <c r="CJ14">
        <f>8704.391</f>
        <v>8704.3909999999996</v>
      </c>
      <c r="CK14">
        <f>8747.24</f>
        <v>8747.24</v>
      </c>
      <c r="CL14">
        <f>8564.641</f>
        <v>8564.6409999999996</v>
      </c>
      <c r="CM14">
        <f>8465.283</f>
        <v>8465.2829999999994</v>
      </c>
      <c r="CN14">
        <f>8681.667</f>
        <v>8681.6669999999995</v>
      </c>
      <c r="CO14">
        <f>8788.761</f>
        <v>8788.7610000000004</v>
      </c>
      <c r="CP14">
        <f>9090.95</f>
        <v>9090.9500000000007</v>
      </c>
      <c r="CQ14">
        <f>8688.399</f>
        <v>8688.3989999999994</v>
      </c>
      <c r="CR14">
        <f>8279.577</f>
        <v>8279.5769999999993</v>
      </c>
      <c r="CS14">
        <f>7533.517</f>
        <v>7533.5169999999998</v>
      </c>
      <c r="CT14">
        <f>7806.939</f>
        <v>7806.9390000000003</v>
      </c>
      <c r="CU14">
        <f>5301.387</f>
        <v>5301.3869999999997</v>
      </c>
      <c r="CV14">
        <f>5658.565</f>
        <v>5658.5649999999996</v>
      </c>
      <c r="CW14">
        <f>5946.144</f>
        <v>5946.1440000000002</v>
      </c>
      <c r="CX14">
        <f>6159.59</f>
        <v>6159.59</v>
      </c>
      <c r="CY14">
        <f>3157.688</f>
        <v>3157.6880000000001</v>
      </c>
      <c r="CZ14">
        <f>3304.16</f>
        <v>3304.16</v>
      </c>
      <c r="DA14">
        <f>3336.663</f>
        <v>3336.663</v>
      </c>
      <c r="DB14">
        <f>3379.905</f>
        <v>3379.9050000000002</v>
      </c>
      <c r="DC14">
        <f>3496.493</f>
        <v>3496.4929999999999</v>
      </c>
      <c r="DD14">
        <f>3621.995</f>
        <v>3621.9949999999999</v>
      </c>
      <c r="DE14">
        <f>3734.723</f>
        <v>3734.723</v>
      </c>
      <c r="DF14">
        <f>3836.667</f>
        <v>3836.6669999999999</v>
      </c>
      <c r="DG14">
        <f>2236.121</f>
        <v>2236.1210000000001</v>
      </c>
      <c r="DH14">
        <f>2172.229</f>
        <v>2172.2289999999998</v>
      </c>
      <c r="DI14">
        <f>1693.074</f>
        <v>1693.0740000000001</v>
      </c>
      <c r="DJ14">
        <f>1743.876</f>
        <v>1743.876</v>
      </c>
      <c r="DK14">
        <f>1582.15</f>
        <v>1582.15</v>
      </c>
      <c r="DL14">
        <f>598.385</f>
        <v>598.38499999999999</v>
      </c>
      <c r="DM14">
        <f>621.798</f>
        <v>621.798</v>
      </c>
      <c r="DN14">
        <f>640.551</f>
        <v>640.55100000000004</v>
      </c>
      <c r="DO14">
        <f>658.25</f>
        <v>658.25</v>
      </c>
      <c r="DP14">
        <f>670.478</f>
        <v>670.47799999999995</v>
      </c>
      <c r="DQ14">
        <f>0</f>
        <v>0</v>
      </c>
      <c r="DR14">
        <f>0</f>
        <v>0</v>
      </c>
      <c r="DS14">
        <f>0</f>
        <v>0</v>
      </c>
      <c r="DT14">
        <f>0</f>
        <v>0</v>
      </c>
      <c r="DU14" t="str">
        <f>""</f>
        <v/>
      </c>
    </row>
    <row r="15" spans="1:125" x14ac:dyDescent="0.25">
      <c r="A15" t="str">
        <f>"                JPMorgan Chase &amp; Co"</f>
        <v xml:space="preserve">                JPMorgan Chase &amp; Co</v>
      </c>
      <c r="B15" t="str">
        <f>"JPM US Equity"</f>
        <v>JPM US Equity</v>
      </c>
      <c r="C15" t="str">
        <f t="shared" si="0"/>
        <v>FC470</v>
      </c>
      <c r="D15" t="str">
        <f t="shared" si="1"/>
        <v>FDIC_SECS_HELD_TO_MTY_BOOK_VAL</v>
      </c>
      <c r="E15" t="str">
        <f t="shared" si="2"/>
        <v>Dynamic</v>
      </c>
      <c r="F15">
        <f ca="1">IF(AND(ISNUMBER($F$157),$B$145=1),$F$157,HLOOKUP(INDIRECT(ADDRESS(2,COLUMN())),OFFSET($BN$2,0,0,ROW()-1,60),ROW()-1,FALSE))</f>
        <v>274571</v>
      </c>
      <c r="G15">
        <f ca="1">IF(AND(ISNUMBER($G$157),$B$145=1),$G$157,HLOOKUP(INDIRECT(ADDRESS(2,COLUMN())),OFFSET($BN$2,0,0,ROW()-1,60),ROW()-1,FALSE))</f>
        <v>300077</v>
      </c>
      <c r="H15">
        <f ca="1">IF(AND(ISNUMBER($H$157),$B$145=1),$H$157,HLOOKUP(INDIRECT(ADDRESS(2,COLUMN())),OFFSET($BN$2,0,0,ROW()-1,60),ROW()-1,FALSE))</f>
        <v>323871</v>
      </c>
      <c r="I15">
        <f ca="1">IF(AND(ISNUMBER($I$157),$B$145=1),$I$157,HLOOKUP(INDIRECT(ADDRESS(2,COLUMN())),OFFSET($BN$2,0,0,ROW()-1,60),ROW()-1,FALSE))</f>
        <v>334647</v>
      </c>
      <c r="J15">
        <f ca="1">IF(AND(ISNUMBER($J$157),$B$145=1),$J$157,HLOOKUP(INDIRECT(ADDRESS(2,COLUMN())),OFFSET($BN$2,0,0,ROW()-1,60),ROW()-1,FALSE))</f>
        <v>369942</v>
      </c>
      <c r="K15">
        <f ca="1">IF(AND(ISNUMBER($K$157),$B$145=1),$K$157,HLOOKUP(INDIRECT(ADDRESS(2,COLUMN())),OFFSET($BN$2,0,0,ROW()-1,60),ROW()-1,FALSE))</f>
        <v>388348</v>
      </c>
      <c r="L15">
        <f ca="1">IF(AND(ISNUMBER($L$157),$B$145=1),$L$157,HLOOKUP(INDIRECT(ADDRESS(2,COLUMN())),OFFSET($BN$2,0,0,ROW()-1,60),ROW()-1,FALSE))</f>
        <v>409015</v>
      </c>
      <c r="M15">
        <f ca="1">IF(AND(ISNUMBER($M$157),$B$145=1),$M$157,HLOOKUP(INDIRECT(ADDRESS(2,COLUMN())),OFFSET($BN$2,0,0,ROW()-1,60),ROW()-1,FALSE))</f>
        <v>412888</v>
      </c>
      <c r="N15">
        <f ca="1">IF(AND(ISNUMBER($N$157),$B$145=1),$N$157,HLOOKUP(INDIRECT(ADDRESS(2,COLUMN())),OFFSET($BN$2,0,0,ROW()-1,60),ROW()-1,FALSE))</f>
        <v>425372</v>
      </c>
      <c r="O15">
        <f ca="1">IF(AND(ISNUMBER($O$157),$B$145=1),$O$157,HLOOKUP(INDIRECT(ADDRESS(2,COLUMN())),OFFSET($BN$2,0,0,ROW()-1,60),ROW()-1,FALSE))</f>
        <v>430157</v>
      </c>
      <c r="P15">
        <f ca="1">IF(AND(ISNUMBER($P$157),$B$145=1),$P$157,HLOOKUP(INDIRECT(ADDRESS(2,COLUMN())),OFFSET($BN$2,0,0,ROW()-1,60),ROW()-1,FALSE))</f>
        <v>441696</v>
      </c>
      <c r="Q15">
        <f ca="1">IF(AND(ISNUMBER($Q$157),$B$145=1),$Q$157,HLOOKUP(INDIRECT(ADDRESS(2,COLUMN())),OFFSET($BN$2,0,0,ROW()-1,60),ROW()-1,FALSE))</f>
        <v>366624</v>
      </c>
      <c r="R15">
        <f ca="1">IF(AND(ISNUMBER($R$157),$B$145=1),$R$157,HLOOKUP(INDIRECT(ADDRESS(2,COLUMN())),OFFSET($BN$2,0,0,ROW()-1,60),ROW()-1,FALSE))</f>
        <v>363746</v>
      </c>
      <c r="S15">
        <f ca="1">IF(AND(ISNUMBER($S$157),$B$145=1),$S$157,HLOOKUP(INDIRECT(ADDRESS(2,COLUMN())),OFFSET($BN$2,0,0,ROW()-1,60),ROW()-1,FALSE))</f>
        <v>343612</v>
      </c>
      <c r="T15">
        <f ca="1">IF(AND(ISNUMBER($T$157),$B$145=1),$T$157,HLOOKUP(INDIRECT(ADDRESS(2,COLUMN())),OFFSET($BN$2,0,0,ROW()-1,60),ROW()-1,FALSE))</f>
        <v>341560</v>
      </c>
      <c r="U15">
        <f ca="1">IF(AND(ISNUMBER($U$157),$B$145=1),$U$157,HLOOKUP(INDIRECT(ADDRESS(2,COLUMN())),OFFSET($BN$2,0,0,ROW()-1,60),ROW()-1,FALSE))</f>
        <v>217546</v>
      </c>
      <c r="V15">
        <f ca="1">IF(AND(ISNUMBER($V$157),$B$145=1),$V$157,HLOOKUP(INDIRECT(ADDRESS(2,COLUMN())),OFFSET($BN$2,0,0,ROW()-1,60),ROW()-1,FALSE))</f>
        <v>201899</v>
      </c>
      <c r="W15">
        <f ca="1">IF(AND(ISNUMBER($W$157),$B$145=1),$W$157,HLOOKUP(INDIRECT(ADDRESS(2,COLUMN())),OFFSET($BN$2,0,0,ROW()-1,60),ROW()-1,FALSE))</f>
        <v>141673</v>
      </c>
      <c r="X15">
        <f ca="1">IF(AND(ISNUMBER($X$157),$B$145=1),$X$157,HLOOKUP(INDIRECT(ADDRESS(2,COLUMN())),OFFSET($BN$2,0,0,ROW()-1,60),ROW()-1,FALSE))</f>
        <v>72931</v>
      </c>
      <c r="Y15">
        <f ca="1">IF(AND(ISNUMBER($Y$157),$B$145=1),$Y$157,HLOOKUP(INDIRECT(ADDRESS(2,COLUMN())),OFFSET($BN$2,0,0,ROW()-1,60),ROW()-1,FALSE))</f>
        <v>71219</v>
      </c>
      <c r="Z15">
        <f ca="1">IF(AND(ISNUMBER($Z$157),$B$145=1),$Z$157,HLOOKUP(INDIRECT(ADDRESS(2,COLUMN())),OFFSET($BN$2,0,0,ROW()-1,60),ROW()-1,FALSE))</f>
        <v>47540</v>
      </c>
      <c r="AA15">
        <f ca="1">IF(AND(ISNUMBER($AA$157),$B$145=1),$AA$157,HLOOKUP(INDIRECT(ADDRESS(2,COLUMN())),OFFSET($BN$2,0,0,ROW()-1,60),ROW()-1,FALSE))</f>
        <v>40830</v>
      </c>
      <c r="AB15">
        <f ca="1">IF(AND(ISNUMBER($AB$157),$B$145=1),$AB$157,HLOOKUP(INDIRECT(ADDRESS(2,COLUMN())),OFFSET($BN$2,0,0,ROW()-1,60),ROW()-1,FALSE))</f>
        <v>30907</v>
      </c>
      <c r="AC15">
        <f ca="1">IF(AND(ISNUMBER($AC$157),$B$145=1),$AC$157,HLOOKUP(INDIRECT(ADDRESS(2,COLUMN())),OFFSET($BN$2,0,0,ROW()-1,60),ROW()-1,FALSE))</f>
        <v>30849</v>
      </c>
      <c r="AD15">
        <f ca="1">IF(AND(ISNUMBER($AD$157),$B$145=1),$AD$157,HLOOKUP(INDIRECT(ADDRESS(2,COLUMN())),OFFSET($BN$2,0,0,ROW()-1,60),ROW()-1,FALSE))</f>
        <v>31434</v>
      </c>
      <c r="AE15">
        <f ca="1">IF(AND(ISNUMBER($AE$157),$B$145=1),$AE$157,HLOOKUP(INDIRECT(ADDRESS(2,COLUMN())),OFFSET($BN$2,0,0,ROW()-1,60),ROW()-1,FALSE))</f>
        <v>31368</v>
      </c>
      <c r="AF15">
        <f ca="1">IF(AND(ISNUMBER($AF$157),$B$145=1),$AF$157,HLOOKUP(INDIRECT(ADDRESS(2,COLUMN())),OFFSET($BN$2,0,0,ROW()-1,60),ROW()-1,FALSE))</f>
        <v>31006</v>
      </c>
      <c r="AG15">
        <f ca="1">IF(AND(ISNUMBER($AG$157),$B$145=1),$AG$157,HLOOKUP(INDIRECT(ADDRESS(2,COLUMN())),OFFSET($BN$2,0,0,ROW()-1,60),ROW()-1,FALSE))</f>
        <v>29042</v>
      </c>
      <c r="AH15">
        <f ca="1">IF(AND(ISNUMBER($AH$157),$B$145=1),$AH$157,HLOOKUP(INDIRECT(ADDRESS(2,COLUMN())),OFFSET($BN$2,0,0,ROW()-1,60),ROW()-1,FALSE))</f>
        <v>47733</v>
      </c>
      <c r="AI15">
        <f ca="1">IF(AND(ISNUMBER($AI$157),$B$145=1),$AI$157,HLOOKUP(INDIRECT(ADDRESS(2,COLUMN())),OFFSET($BN$2,0,0,ROW()-1,60),ROW()-1,FALSE))</f>
        <v>47079</v>
      </c>
      <c r="AJ15">
        <f ca="1">IF(AND(ISNUMBER($AJ$157),$B$145=1),$AJ$157,HLOOKUP(INDIRECT(ADDRESS(2,COLUMN())),OFFSET($BN$2,0,0,ROW()-1,60),ROW()-1,FALSE))</f>
        <v>47761</v>
      </c>
      <c r="AK15">
        <f ca="1">IF(AND(ISNUMBER($AK$157),$B$145=1),$AK$157,HLOOKUP(INDIRECT(ADDRESS(2,COLUMN())),OFFSET($BN$2,0,0,ROW()-1,60),ROW()-1,FALSE))</f>
        <v>48913</v>
      </c>
      <c r="AL15">
        <f ca="1">IF(AND(ISNUMBER($AL$157),$B$145=1),$AL$157,HLOOKUP(INDIRECT(ADDRESS(2,COLUMN())),OFFSET($BN$2,0,0,ROW()-1,60),ROW()-1,FALSE))</f>
        <v>50168</v>
      </c>
      <c r="AM15">
        <f ca="1">IF(AND(ISNUMBER($AM$157),$B$145=1),$AM$157,HLOOKUP(INDIRECT(ADDRESS(2,COLUMN())),OFFSET($BN$2,0,0,ROW()-1,60),ROW()-1,FALSE))</f>
        <v>52011</v>
      </c>
      <c r="AN15">
        <f ca="1">IF(AND(ISNUMBER($AN$157),$B$145=1),$AN$157,HLOOKUP(INDIRECT(ADDRESS(2,COLUMN())),OFFSET($BN$2,0,0,ROW()-1,60),ROW()-1,FALSE))</f>
        <v>53811</v>
      </c>
      <c r="AO15">
        <f ca="1">IF(AND(ISNUMBER($AO$157),$B$145=1),$AO$157,HLOOKUP(INDIRECT(ADDRESS(2,COLUMN())),OFFSET($BN$2,0,0,ROW()-1,60),ROW()-1,FALSE))</f>
        <v>47932</v>
      </c>
      <c r="AP15">
        <f ca="1">IF(AND(ISNUMBER($AP$157),$B$145=1),$AP$157,HLOOKUP(INDIRECT(ADDRESS(2,COLUMN())),OFFSET($BN$2,0,0,ROW()-1,60),ROW()-1,FALSE))</f>
        <v>49073</v>
      </c>
      <c r="AQ15">
        <f ca="1">IF(AND(ISNUMBER($AQ$157),$B$145=1),$AQ$157,HLOOKUP(INDIRECT(ADDRESS(2,COLUMN())),OFFSET($BN$2,0,0,ROW()-1,60),ROW()-1,FALSE))</f>
        <v>50169</v>
      </c>
      <c r="AR15">
        <f ca="1">IF(AND(ISNUMBER($AR$157),$B$145=1),$AR$157,HLOOKUP(INDIRECT(ADDRESS(2,COLUMN())),OFFSET($BN$2,0,0,ROW()-1,60),ROW()-1,FALSE))</f>
        <v>51594</v>
      </c>
      <c r="AS15">
        <f ca="1">IF(AND(ISNUMBER($AS$157),$B$145=1),$AS$157,HLOOKUP(INDIRECT(ADDRESS(2,COLUMN())),OFFSET($BN$2,0,0,ROW()-1,60),ROW()-1,FALSE))</f>
        <v>49264</v>
      </c>
      <c r="AT15">
        <f ca="1">IF(AND(ISNUMBER($AT$157),$B$145=1),$AT$157,HLOOKUP(INDIRECT(ADDRESS(2,COLUMN())),OFFSET($BN$2,0,0,ROW()-1,60),ROW()-1,FALSE))</f>
        <v>49252</v>
      </c>
      <c r="AU15">
        <f ca="1">IF(AND(ISNUMBER($AU$157),$B$145=1),$AU$157,HLOOKUP(INDIRECT(ADDRESS(2,COLUMN())),OFFSET($BN$2,0,0,ROW()-1,60),ROW()-1,FALSE))</f>
        <v>48826</v>
      </c>
      <c r="AV15">
        <f ca="1">IF(AND(ISNUMBER($AV$157),$B$145=1),$AV$157,HLOOKUP(INDIRECT(ADDRESS(2,COLUMN())),OFFSET($BN$2,0,0,ROW()-1,60),ROW()-1,FALSE))</f>
        <v>47849</v>
      </c>
      <c r="AW15">
        <f ca="1">IF(AND(ISNUMBER($AW$157),$B$145=1),$AW$157,HLOOKUP(INDIRECT(ADDRESS(2,COLUMN())),OFFSET($BN$2,0,0,ROW()-1,60),ROW()-1,FALSE))</f>
        <v>47271</v>
      </c>
      <c r="AX15">
        <f ca="1">IF(AND(ISNUMBER($AX$157),$B$145=1),$AX$157,HLOOKUP(INDIRECT(ADDRESS(2,COLUMN())),OFFSET($BN$2,0,0,ROW()-1,60),ROW()-1,FALSE))</f>
        <v>24026</v>
      </c>
      <c r="AY15">
        <f ca="1">IF(AND(ISNUMBER($AY$157),$B$145=1),$AY$157,HLOOKUP(INDIRECT(ADDRESS(2,COLUMN())),OFFSET($BN$2,0,0,ROW()-1,60),ROW()-1,FALSE))</f>
        <v>4516</v>
      </c>
      <c r="AZ15">
        <f ca="1">IF(AND(ISNUMBER($AZ$157),$B$145=1),$AZ$157,HLOOKUP(INDIRECT(ADDRESS(2,COLUMN())),OFFSET($BN$2,0,0,ROW()-1,60),ROW()-1,FALSE))</f>
        <v>6</v>
      </c>
      <c r="BA15">
        <f ca="1">IF(AND(ISNUMBER($BA$157),$B$145=1),$BA$157,HLOOKUP(INDIRECT(ADDRESS(2,COLUMN())),OFFSET($BN$2,0,0,ROW()-1,60),ROW()-1,FALSE))</f>
        <v>7</v>
      </c>
      <c r="BB15">
        <f ca="1">IF(AND(ISNUMBER($BB$157),$B$145=1),$BB$157,HLOOKUP(INDIRECT(ADDRESS(2,COLUMN())),OFFSET($BN$2,0,0,ROW()-1,60),ROW()-1,FALSE))</f>
        <v>7</v>
      </c>
      <c r="BC15">
        <f ca="1">IF(AND(ISNUMBER($BC$157),$B$145=1),$BC$157,HLOOKUP(INDIRECT(ADDRESS(2,COLUMN())),OFFSET($BN$2,0,0,ROW()-1,60),ROW()-1,FALSE))</f>
        <v>9</v>
      </c>
      <c r="BD15">
        <f ca="1">IF(AND(ISNUMBER($BD$157),$B$145=1),$BD$157,HLOOKUP(INDIRECT(ADDRESS(2,COLUMN())),OFFSET($BN$2,0,0,ROW()-1,60),ROW()-1,FALSE))</f>
        <v>10</v>
      </c>
      <c r="BE15">
        <f ca="1">IF(AND(ISNUMBER($BE$157),$B$145=1),$BE$157,HLOOKUP(INDIRECT(ADDRESS(2,COLUMN())),OFFSET($BN$2,0,0,ROW()-1,60),ROW()-1,FALSE))</f>
        <v>11</v>
      </c>
      <c r="BF15">
        <f ca="1">IF(AND(ISNUMBER($BF$157),$B$145=1),$BF$157,HLOOKUP(INDIRECT(ADDRESS(2,COLUMN())),OFFSET($BN$2,0,0,ROW()-1,60),ROW()-1,FALSE))</f>
        <v>12</v>
      </c>
      <c r="BG15">
        <f ca="1">IF(AND(ISNUMBER($BG$157),$B$145=1),$BG$157,HLOOKUP(INDIRECT(ADDRESS(2,COLUMN())),OFFSET($BN$2,0,0,ROW()-1,60),ROW()-1,FALSE))</f>
        <v>13</v>
      </c>
      <c r="BH15">
        <f ca="1">IF(AND(ISNUMBER($BH$157),$B$145=1),$BH$157,HLOOKUP(INDIRECT(ADDRESS(2,COLUMN())),OFFSET($BN$2,0,0,ROW()-1,60),ROW()-1,FALSE))</f>
        <v>15</v>
      </c>
      <c r="BI15">
        <f ca="1">IF(AND(ISNUMBER($BI$157),$B$145=1),$BI$157,HLOOKUP(INDIRECT(ADDRESS(2,COLUMN())),OFFSET($BN$2,0,0,ROW()-1,60),ROW()-1,FALSE))</f>
        <v>16</v>
      </c>
      <c r="BJ15">
        <f ca="1">IF(AND(ISNUMBER($BJ$157),$B$145=1),$BJ$157,HLOOKUP(INDIRECT(ADDRESS(2,COLUMN())),OFFSET($BN$2,0,0,ROW()-1,60),ROW()-1,FALSE))</f>
        <v>18</v>
      </c>
      <c r="BK15">
        <f ca="1">IF(AND(ISNUMBER($BK$157),$B$145=1),$BK$157,HLOOKUP(INDIRECT(ADDRESS(2,COLUMN())),OFFSET($BN$2,0,0,ROW()-1,60),ROW()-1,FALSE))</f>
        <v>19</v>
      </c>
      <c r="BL15">
        <f ca="1">IF(AND(ISNUMBER($BL$157),$B$145=1),$BL$157,HLOOKUP(INDIRECT(ADDRESS(2,COLUMN())),OFFSET($BN$2,0,0,ROW()-1,60),ROW()-1,FALSE))</f>
        <v>21</v>
      </c>
      <c r="BM15" t="str">
        <f ca="1">IF(AND(ISNUMBER($BM$157),$B$145=1),$BM$157,HLOOKUP(INDIRECT(ADDRESS(2,COLUMN())),OFFSET($BN$2,0,0,ROW()-1,60),ROW()-1,FALSE))</f>
        <v/>
      </c>
      <c r="BN15">
        <f>274571</f>
        <v>274571</v>
      </c>
      <c r="BO15">
        <f>300077</f>
        <v>300077</v>
      </c>
      <c r="BP15">
        <f>323871</f>
        <v>323871</v>
      </c>
      <c r="BQ15">
        <f>334647</f>
        <v>334647</v>
      </c>
      <c r="BR15">
        <f>369942</f>
        <v>369942</v>
      </c>
      <c r="BS15">
        <f>388348</f>
        <v>388348</v>
      </c>
      <c r="BT15">
        <f>409015</f>
        <v>409015</v>
      </c>
      <c r="BU15">
        <f>412888</f>
        <v>412888</v>
      </c>
      <c r="BV15">
        <f>425372</f>
        <v>425372</v>
      </c>
      <c r="BW15">
        <f>430157</f>
        <v>430157</v>
      </c>
      <c r="BX15">
        <f>441696</f>
        <v>441696</v>
      </c>
      <c r="BY15">
        <f>366624</f>
        <v>366624</v>
      </c>
      <c r="BZ15">
        <f>363746</f>
        <v>363746</v>
      </c>
      <c r="CA15">
        <f>343612</f>
        <v>343612</v>
      </c>
      <c r="CB15">
        <f>341560</f>
        <v>341560</v>
      </c>
      <c r="CC15">
        <f>217546</f>
        <v>217546</v>
      </c>
      <c r="CD15">
        <f>201899</f>
        <v>201899</v>
      </c>
      <c r="CE15">
        <f>141673</f>
        <v>141673</v>
      </c>
      <c r="CF15">
        <f>72931</f>
        <v>72931</v>
      </c>
      <c r="CG15">
        <f>71219</f>
        <v>71219</v>
      </c>
      <c r="CH15">
        <f>47540</f>
        <v>47540</v>
      </c>
      <c r="CI15">
        <f>40830</f>
        <v>40830</v>
      </c>
      <c r="CJ15">
        <f>30907</f>
        <v>30907</v>
      </c>
      <c r="CK15">
        <f>30849</f>
        <v>30849</v>
      </c>
      <c r="CL15">
        <f>31434</f>
        <v>31434</v>
      </c>
      <c r="CM15">
        <f>31368</f>
        <v>31368</v>
      </c>
      <c r="CN15">
        <f>31006</f>
        <v>31006</v>
      </c>
      <c r="CO15">
        <f>29042</f>
        <v>29042</v>
      </c>
      <c r="CP15">
        <f>47733</f>
        <v>47733</v>
      </c>
      <c r="CQ15">
        <f>47079</f>
        <v>47079</v>
      </c>
      <c r="CR15">
        <f>47761</f>
        <v>47761</v>
      </c>
      <c r="CS15">
        <f>48913</f>
        <v>48913</v>
      </c>
      <c r="CT15">
        <f>50168</f>
        <v>50168</v>
      </c>
      <c r="CU15">
        <f>52011</f>
        <v>52011</v>
      </c>
      <c r="CV15">
        <f>53811</f>
        <v>53811</v>
      </c>
      <c r="CW15">
        <f>47932</f>
        <v>47932</v>
      </c>
      <c r="CX15">
        <f>49073</f>
        <v>49073</v>
      </c>
      <c r="CY15">
        <f>50169</f>
        <v>50169</v>
      </c>
      <c r="CZ15">
        <f>51594</f>
        <v>51594</v>
      </c>
      <c r="DA15">
        <f>49264</f>
        <v>49264</v>
      </c>
      <c r="DB15">
        <f>49252</f>
        <v>49252</v>
      </c>
      <c r="DC15">
        <f>48826</f>
        <v>48826</v>
      </c>
      <c r="DD15">
        <f>47849</f>
        <v>47849</v>
      </c>
      <c r="DE15">
        <f>47271</f>
        <v>47271</v>
      </c>
      <c r="DF15">
        <f>24026</f>
        <v>24026</v>
      </c>
      <c r="DG15">
        <f>4516</f>
        <v>4516</v>
      </c>
      <c r="DH15">
        <f>6</f>
        <v>6</v>
      </c>
      <c r="DI15">
        <f>7</f>
        <v>7</v>
      </c>
      <c r="DJ15">
        <f>7</f>
        <v>7</v>
      </c>
      <c r="DK15">
        <f>9</f>
        <v>9</v>
      </c>
      <c r="DL15">
        <f>10</f>
        <v>10</v>
      </c>
      <c r="DM15">
        <f>11</f>
        <v>11</v>
      </c>
      <c r="DN15">
        <f>12</f>
        <v>12</v>
      </c>
      <c r="DO15">
        <f>13</f>
        <v>13</v>
      </c>
      <c r="DP15">
        <f>15</f>
        <v>15</v>
      </c>
      <c r="DQ15">
        <f>16</f>
        <v>16</v>
      </c>
      <c r="DR15">
        <f>18</f>
        <v>18</v>
      </c>
      <c r="DS15">
        <f>19</f>
        <v>19</v>
      </c>
      <c r="DT15">
        <f>21</f>
        <v>21</v>
      </c>
      <c r="DU15" t="str">
        <f>""</f>
        <v/>
      </c>
    </row>
    <row r="16" spans="1:125" x14ac:dyDescent="0.25">
      <c r="A16" t="str">
        <f>"                KeyCorp"</f>
        <v xml:space="preserve">                KeyCorp</v>
      </c>
      <c r="B16" t="str">
        <f>"KEY US Equity"</f>
        <v>KEY US Equity</v>
      </c>
      <c r="C16" t="str">
        <f t="shared" si="0"/>
        <v>FC470</v>
      </c>
      <c r="D16" t="str">
        <f t="shared" si="1"/>
        <v>FDIC_SECS_HELD_TO_MTY_BOOK_VAL</v>
      </c>
      <c r="E16" t="str">
        <f t="shared" si="2"/>
        <v>Dynamic</v>
      </c>
      <c r="F16">
        <f ca="1">IF(AND(ISNUMBER($F$158),$B$145=1),$F$158,HLOOKUP(INDIRECT(ADDRESS(2,COLUMN())),OFFSET($BN$2,0,0,ROW()-1,60),ROW()-1,FALSE))</f>
        <v>7395.09</v>
      </c>
      <c r="G16">
        <f ca="1">IF(AND(ISNUMBER($G$158),$B$145=1),$G$158,HLOOKUP(INDIRECT(ADDRESS(2,COLUMN())),OFFSET($BN$2,0,0,ROW()-1,60),ROW()-1,FALSE))</f>
        <v>7702.2749999999996</v>
      </c>
      <c r="H16">
        <f ca="1">IF(AND(ISNUMBER($H$158),$B$145=1),$H$158,HLOOKUP(INDIRECT(ADDRESS(2,COLUMN())),OFFSET($BN$2,0,0,ROW()-1,60),ROW()-1,FALSE))</f>
        <v>7967.558</v>
      </c>
      <c r="I16">
        <f ca="1">IF(AND(ISNUMBER($I$158),$B$145=1),$I$158,HLOOKUP(INDIRECT(ADDRESS(2,COLUMN())),OFFSET($BN$2,0,0,ROW()-1,60),ROW()-1,FALSE))</f>
        <v>8271.6219999999994</v>
      </c>
      <c r="J16">
        <f ca="1">IF(AND(ISNUMBER($J$158),$B$145=1),$J$158,HLOOKUP(INDIRECT(ADDRESS(2,COLUMN())),OFFSET($BN$2,0,0,ROW()-1,60),ROW()-1,FALSE))</f>
        <v>8575.2510000000002</v>
      </c>
      <c r="K16">
        <f ca="1">IF(AND(ISNUMBER($K$158),$B$145=1),$K$158,HLOOKUP(INDIRECT(ADDRESS(2,COLUMN())),OFFSET($BN$2,0,0,ROW()-1,60),ROW()-1,FALSE))</f>
        <v>8853.4429999999993</v>
      </c>
      <c r="L16">
        <f ca="1">IF(AND(ISNUMBER($L$158),$B$145=1),$L$158,HLOOKUP(INDIRECT(ADDRESS(2,COLUMN())),OFFSET($BN$2,0,0,ROW()-1,60),ROW()-1,FALSE))</f>
        <v>9188.58</v>
      </c>
      <c r="M16">
        <f ca="1">IF(AND(ISNUMBER($M$158),$B$145=1),$M$158,HLOOKUP(INDIRECT(ADDRESS(2,COLUMN())),OFFSET($BN$2,0,0,ROW()-1,60),ROW()-1,FALSE))</f>
        <v>9560.7839999999997</v>
      </c>
      <c r="N16">
        <f ca="1">IF(AND(ISNUMBER($N$158),$B$145=1),$N$158,HLOOKUP(INDIRECT(ADDRESS(2,COLUMN())),OFFSET($BN$2,0,0,ROW()-1,60),ROW()-1,FALSE))</f>
        <v>8709.9150000000009</v>
      </c>
      <c r="O16">
        <f ca="1">IF(AND(ISNUMBER($O$158),$B$145=1),$O$158,HLOOKUP(INDIRECT(ADDRESS(2,COLUMN())),OFFSET($BN$2,0,0,ROW()-1,60),ROW()-1,FALSE))</f>
        <v>8163.4549999999999</v>
      </c>
      <c r="P16">
        <f ca="1">IF(AND(ISNUMBER($P$158),$B$145=1),$P$158,HLOOKUP(INDIRECT(ADDRESS(2,COLUMN())),OFFSET($BN$2,0,0,ROW()-1,60),ROW()-1,FALSE))</f>
        <v>8185.857</v>
      </c>
      <c r="Q16">
        <f ca="1">IF(AND(ISNUMBER($Q$158),$B$145=1),$Q$158,HLOOKUP(INDIRECT(ADDRESS(2,COLUMN())),OFFSET($BN$2,0,0,ROW()-1,60),ROW()-1,FALSE))</f>
        <v>6871.116</v>
      </c>
      <c r="R16">
        <f ca="1">IF(AND(ISNUMBER($R$158),$B$145=1),$R$158,HLOOKUP(INDIRECT(ADDRESS(2,COLUMN())),OFFSET($BN$2,0,0,ROW()-1,60),ROW()-1,FALSE))</f>
        <v>7539.4219999999996</v>
      </c>
      <c r="S16">
        <f ca="1">IF(AND(ISNUMBER($S$158),$B$145=1),$S$158,HLOOKUP(INDIRECT(ADDRESS(2,COLUMN())),OFFSET($BN$2,0,0,ROW()-1,60),ROW()-1,FALSE))</f>
        <v>8423.009</v>
      </c>
      <c r="T16">
        <f ca="1">IF(AND(ISNUMBER($T$158),$B$145=1),$T$158,HLOOKUP(INDIRECT(ADDRESS(2,COLUMN())),OFFSET($BN$2,0,0,ROW()-1,60),ROW()-1,FALSE))</f>
        <v>6174.7049999999999</v>
      </c>
      <c r="U16">
        <f ca="1">IF(AND(ISNUMBER($U$158),$B$145=1),$U$158,HLOOKUP(INDIRECT(ADDRESS(2,COLUMN())),OFFSET($BN$2,0,0,ROW()-1,60),ROW()-1,FALSE))</f>
        <v>6857.3779999999997</v>
      </c>
      <c r="V16">
        <f ca="1">IF(AND(ISNUMBER($V$158),$B$145=1),$V$158,HLOOKUP(INDIRECT(ADDRESS(2,COLUMN())),OFFSET($BN$2,0,0,ROW()-1,60),ROW()-1,FALSE))</f>
        <v>7595.3490000000002</v>
      </c>
      <c r="W16">
        <f ca="1">IF(AND(ISNUMBER($W$158),$B$145=1),$W$158,HLOOKUP(INDIRECT(ADDRESS(2,COLUMN())),OFFSET($BN$2,0,0,ROW()-1,60),ROW()-1,FALSE))</f>
        <v>8384.2810000000009</v>
      </c>
      <c r="X16">
        <f ca="1">IF(AND(ISNUMBER($X$158),$B$145=1),$X$158,HLOOKUP(INDIRECT(ADDRESS(2,COLUMN())),OFFSET($BN$2,0,0,ROW()-1,60),ROW()-1,FALSE))</f>
        <v>9075.4660000000003</v>
      </c>
      <c r="Y16">
        <f ca="1">IF(AND(ISNUMBER($Y$158),$B$145=1),$Y$158,HLOOKUP(INDIRECT(ADDRESS(2,COLUMN())),OFFSET($BN$2,0,0,ROW()-1,60),ROW()-1,FALSE))</f>
        <v>9638.2060000000001</v>
      </c>
      <c r="Z16">
        <f ca="1">IF(AND(ISNUMBER($Z$158),$B$145=1),$Z$158,HLOOKUP(INDIRECT(ADDRESS(2,COLUMN())),OFFSET($BN$2,0,0,ROW()-1,60),ROW()-1,FALSE))</f>
        <v>10067.222</v>
      </c>
      <c r="AA16">
        <f ca="1">IF(AND(ISNUMBER($AA$158),$B$145=1),$AA$158,HLOOKUP(INDIRECT(ADDRESS(2,COLUMN())),OFFSET($BN$2,0,0,ROW()-1,60),ROW()-1,FALSE))</f>
        <v>10489.898999999999</v>
      </c>
      <c r="AB16">
        <f ca="1">IF(AND(ISNUMBER($AB$158),$B$145=1),$AB$158,HLOOKUP(INDIRECT(ADDRESS(2,COLUMN())),OFFSET($BN$2,0,0,ROW()-1,60),ROW()-1,FALSE))</f>
        <v>10878.138999999999</v>
      </c>
      <c r="AC16">
        <f ca="1">IF(AND(ISNUMBER($AC$158),$B$145=1),$AC$158,HLOOKUP(INDIRECT(ADDRESS(2,COLUMN())),OFFSET($BN$2,0,0,ROW()-1,60),ROW()-1,FALSE))</f>
        <v>11234.192999999999</v>
      </c>
      <c r="AD16">
        <f ca="1">IF(AND(ISNUMBER($AD$158),$B$145=1),$AD$158,HLOOKUP(INDIRECT(ADDRESS(2,COLUMN())),OFFSET($BN$2,0,0,ROW()-1,60),ROW()-1,FALSE))</f>
        <v>11519.187</v>
      </c>
      <c r="AE16">
        <f ca="1">IF(AND(ISNUMBER($AE$158),$B$145=1),$AE$158,HLOOKUP(INDIRECT(ADDRESS(2,COLUMN())),OFFSET($BN$2,0,0,ROW()-1,60),ROW()-1,FALSE))</f>
        <v>11869.79</v>
      </c>
      <c r="AF16">
        <f ca="1">IF(AND(ISNUMBER($AF$158),$B$145=1),$AF$158,HLOOKUP(INDIRECT(ADDRESS(2,COLUMN())),OFFSET($BN$2,0,0,ROW()-1,60),ROW()-1,FALSE))</f>
        <v>12277.550999999999</v>
      </c>
      <c r="AG16">
        <f ca="1">IF(AND(ISNUMBER($AG$158),$B$145=1),$AG$158,HLOOKUP(INDIRECT(ADDRESS(2,COLUMN())),OFFSET($BN$2,0,0,ROW()-1,60),ROW()-1,FALSE))</f>
        <v>12190.031000000001</v>
      </c>
      <c r="AH16">
        <f ca="1">IF(AND(ISNUMBER($AH$158),$B$145=1),$AH$158,HLOOKUP(INDIRECT(ADDRESS(2,COLUMN())),OFFSET($BN$2,0,0,ROW()-1,60),ROW()-1,FALSE))</f>
        <v>11831.529</v>
      </c>
      <c r="AI16">
        <f ca="1">IF(AND(ISNUMBER($AI$158),$B$145=1),$AI$158,HLOOKUP(INDIRECT(ADDRESS(2,COLUMN())),OFFSET($BN$2,0,0,ROW()-1,60),ROW()-1,FALSE))</f>
        <v>10276.668</v>
      </c>
      <c r="AJ16">
        <f ca="1">IF(AND(ISNUMBER($AJ$158),$B$145=1),$AJ$158,HLOOKUP(INDIRECT(ADDRESS(2,COLUMN())),OFFSET($BN$2,0,0,ROW()-1,60),ROW()-1,FALSE))</f>
        <v>10638.865</v>
      </c>
      <c r="AK16">
        <f ca="1">IF(AND(ISNUMBER($AK$158),$B$145=1),$AK$158,HLOOKUP(INDIRECT(ADDRESS(2,COLUMN())),OFFSET($BN$2,0,0,ROW()-1,60),ROW()-1,FALSE))</f>
        <v>10187.23</v>
      </c>
      <c r="AL16">
        <f ca="1">IF(AND(ISNUMBER($AL$158),$B$145=1),$AL$158,HLOOKUP(INDIRECT(ADDRESS(2,COLUMN())),OFFSET($BN$2,0,0,ROW()-1,60),ROW()-1,FALSE))</f>
        <v>10232.642</v>
      </c>
      <c r="AM16">
        <f ca="1">IF(AND(ISNUMBER($AM$158),$B$145=1),$AM$158,HLOOKUP(INDIRECT(ADDRESS(2,COLUMN())),OFFSET($BN$2,0,0,ROW()-1,60),ROW()-1,FALSE))</f>
        <v>8995.7070000000003</v>
      </c>
      <c r="AN16">
        <f ca="1">IF(AND(ISNUMBER($AN$158),$B$145=1),$AN$158,HLOOKUP(INDIRECT(ADDRESS(2,COLUMN())),OFFSET($BN$2,0,0,ROW()-1,60),ROW()-1,FALSE))</f>
        <v>4832.6189999999997</v>
      </c>
      <c r="AO16">
        <f ca="1">IF(AND(ISNUMBER($AO$158),$B$145=1),$AO$158,HLOOKUP(INDIRECT(ADDRESS(2,COLUMN())),OFFSET($BN$2,0,0,ROW()-1,60),ROW()-1,FALSE))</f>
        <v>5004.3980000000001</v>
      </c>
      <c r="AP16">
        <f ca="1">IF(AND(ISNUMBER($AP$158),$B$145=1),$AP$158,HLOOKUP(INDIRECT(ADDRESS(2,COLUMN())),OFFSET($BN$2,0,0,ROW()-1,60),ROW()-1,FALSE))</f>
        <v>4898.0590000000002</v>
      </c>
      <c r="AQ16">
        <f ca="1">IF(AND(ISNUMBER($AQ$158),$B$145=1),$AQ$158,HLOOKUP(INDIRECT(ADDRESS(2,COLUMN())),OFFSET($BN$2,0,0,ROW()-1,60),ROW()-1,FALSE))</f>
        <v>4936.9369999999999</v>
      </c>
      <c r="AR16">
        <f ca="1">IF(AND(ISNUMBER($AR$158),$B$145=1),$AR$158,HLOOKUP(INDIRECT(ADDRESS(2,COLUMN())),OFFSET($BN$2,0,0,ROW()-1,60),ROW()-1,FALSE))</f>
        <v>5022.9530000000004</v>
      </c>
      <c r="AS16">
        <f ca="1">IF(AND(ISNUMBER($AS$158),$B$145=1),$AS$158,HLOOKUP(INDIRECT(ADDRESS(2,COLUMN())),OFFSET($BN$2,0,0,ROW()-1,60),ROW()-1,FALSE))</f>
        <v>5005.7879999999996</v>
      </c>
      <c r="AT16">
        <f ca="1">IF(AND(ISNUMBER($AT$158),$B$145=1),$AT$158,HLOOKUP(INDIRECT(ADDRESS(2,COLUMN())),OFFSET($BN$2,0,0,ROW()-1,60),ROW()-1,FALSE))</f>
        <v>5015.8680000000004</v>
      </c>
      <c r="AU16">
        <f ca="1">IF(AND(ISNUMBER($AU$158),$B$145=1),$AU$158,HLOOKUP(INDIRECT(ADDRESS(2,COLUMN())),OFFSET($BN$2,0,0,ROW()-1,60),ROW()-1,FALSE))</f>
        <v>4998.1809999999996</v>
      </c>
      <c r="AV16">
        <f ca="1">IF(AND(ISNUMBER($AV$158),$B$145=1),$AV$158,HLOOKUP(INDIRECT(ADDRESS(2,COLUMN())),OFFSET($BN$2,0,0,ROW()-1,60),ROW()-1,FALSE))</f>
        <v>5233.0640000000003</v>
      </c>
      <c r="AW16">
        <f ca="1">IF(AND(ISNUMBER($AW$158),$B$145=1),$AW$158,HLOOKUP(INDIRECT(ADDRESS(2,COLUMN())),OFFSET($BN$2,0,0,ROW()-1,60),ROW()-1,FALSE))</f>
        <v>4825.8850000000002</v>
      </c>
      <c r="AX16">
        <f ca="1">IF(AND(ISNUMBER($AX$158),$B$145=1),$AX$158,HLOOKUP(INDIRECT(ADDRESS(2,COLUMN())),OFFSET($BN$2,0,0,ROW()-1,60),ROW()-1,FALSE))</f>
        <v>4755.8190000000004</v>
      </c>
      <c r="AY16">
        <f ca="1">IF(AND(ISNUMBER($AY$158),$B$145=1),$AY$158,HLOOKUP(INDIRECT(ADDRESS(2,COLUMN())),OFFSET($BN$2,0,0,ROW()-1,60),ROW()-1,FALSE))</f>
        <v>4835.1989999999996</v>
      </c>
      <c r="AZ16">
        <f ca="1">IF(AND(ISNUMBER($AZ$158),$B$145=1),$AZ$158,HLOOKUP(INDIRECT(ADDRESS(2,COLUMN())),OFFSET($BN$2,0,0,ROW()-1,60),ROW()-1,FALSE))</f>
        <v>4749.9250000000002</v>
      </c>
      <c r="BA16">
        <f ca="1">IF(AND(ISNUMBER($BA$158),$B$145=1),$BA$158,HLOOKUP(INDIRECT(ADDRESS(2,COLUMN())),OFFSET($BN$2,0,0,ROW()-1,60),ROW()-1,FALSE))</f>
        <v>3721.1559999999999</v>
      </c>
      <c r="BB16">
        <f ca="1">IF(AND(ISNUMBER($BB$158),$B$145=1),$BB$158,HLOOKUP(INDIRECT(ADDRESS(2,COLUMN())),OFFSET($BN$2,0,0,ROW()-1,60),ROW()-1,FALSE))</f>
        <v>3930.6729999999998</v>
      </c>
      <c r="BC16">
        <f ca="1">IF(AND(ISNUMBER($BC$158),$B$145=1),$BC$158,HLOOKUP(INDIRECT(ADDRESS(2,COLUMN())),OFFSET($BN$2,0,0,ROW()-1,60),ROW()-1,FALSE))</f>
        <v>4152.8429999999998</v>
      </c>
      <c r="BD16">
        <f ca="1">IF(AND(ISNUMBER($BD$158),$B$145=1),$BD$158,HLOOKUP(INDIRECT(ADDRESS(2,COLUMN())),OFFSET($BN$2,0,0,ROW()-1,60),ROW()-1,FALSE))</f>
        <v>4352.2690000000002</v>
      </c>
      <c r="BE16">
        <f ca="1">IF(AND(ISNUMBER($BE$158),$B$145=1),$BE$158,HLOOKUP(INDIRECT(ADDRESS(2,COLUMN())),OFFSET($BN$2,0,0,ROW()-1,60),ROW()-1,FALSE))</f>
        <v>3018.7350000000001</v>
      </c>
      <c r="BF16">
        <f ca="1">IF(AND(ISNUMBER($BF$158),$B$145=1),$BF$158,HLOOKUP(INDIRECT(ADDRESS(2,COLUMN())),OFFSET($BN$2,0,0,ROW()-1,60),ROW()-1,FALSE))</f>
        <v>2109.2379999999998</v>
      </c>
      <c r="BG16">
        <f ca="1">IF(AND(ISNUMBER($BG$158),$B$145=1),$BG$158,HLOOKUP(INDIRECT(ADDRESS(2,COLUMN())),OFFSET($BN$2,0,0,ROW()-1,60),ROW()-1,FALSE))</f>
        <v>1176.0820000000001</v>
      </c>
      <c r="BH16">
        <f ca="1">IF(AND(ISNUMBER($BH$158),$B$145=1),$BH$158,HLOOKUP(INDIRECT(ADDRESS(2,COLUMN())),OFFSET($BN$2,0,0,ROW()-1,60),ROW()-1,FALSE))</f>
        <v>18.995999999999999</v>
      </c>
      <c r="BI16">
        <f ca="1">IF(AND(ISNUMBER($BI$158),$B$145=1),$BI$158,HLOOKUP(INDIRECT(ADDRESS(2,COLUMN())),OFFSET($BN$2,0,0,ROW()-1,60),ROW()-1,FALSE))</f>
        <v>18.995999999999999</v>
      </c>
      <c r="BJ16">
        <f ca="1">IF(AND(ISNUMBER($BJ$158),$B$145=1),$BJ$158,HLOOKUP(INDIRECT(ADDRESS(2,COLUMN())),OFFSET($BN$2,0,0,ROW()-1,60),ROW()-1,FALSE))</f>
        <v>17.074999999999999</v>
      </c>
      <c r="BK16">
        <f ca="1">IF(AND(ISNUMBER($BK$158),$B$145=1),$BK$158,HLOOKUP(INDIRECT(ADDRESS(2,COLUMN())),OFFSET($BN$2,0,0,ROW()-1,60),ROW()-1,FALSE))</f>
        <v>18.385999999999999</v>
      </c>
      <c r="BL16">
        <f ca="1">IF(AND(ISNUMBER($BL$158),$B$145=1),$BL$158,HLOOKUP(INDIRECT(ADDRESS(2,COLUMN())),OFFSET($BN$2,0,0,ROW()-1,60),ROW()-1,FALSE))</f>
        <v>18.815999999999999</v>
      </c>
      <c r="BM16" t="str">
        <f ca="1">IF(AND(ISNUMBER($BM$158),$B$145=1),$BM$158,HLOOKUP(INDIRECT(ADDRESS(2,COLUMN())),OFFSET($BN$2,0,0,ROW()-1,60),ROW()-1,FALSE))</f>
        <v/>
      </c>
      <c r="BN16">
        <f>7395.09</f>
        <v>7395.09</v>
      </c>
      <c r="BO16">
        <f>7702.275</f>
        <v>7702.2749999999996</v>
      </c>
      <c r="BP16">
        <f>7967.558</f>
        <v>7967.558</v>
      </c>
      <c r="BQ16">
        <f>8271.622</f>
        <v>8271.6219999999994</v>
      </c>
      <c r="BR16">
        <f>8575.251</f>
        <v>8575.2510000000002</v>
      </c>
      <c r="BS16">
        <f>8853.443</f>
        <v>8853.4429999999993</v>
      </c>
      <c r="BT16">
        <f>9188.58</f>
        <v>9188.58</v>
      </c>
      <c r="BU16">
        <f>9560.784</f>
        <v>9560.7839999999997</v>
      </c>
      <c r="BV16">
        <f>8709.915</f>
        <v>8709.9150000000009</v>
      </c>
      <c r="BW16">
        <f>8163.455</f>
        <v>8163.4549999999999</v>
      </c>
      <c r="BX16">
        <f>8185.857</f>
        <v>8185.857</v>
      </c>
      <c r="BY16">
        <f>6871.116</f>
        <v>6871.116</v>
      </c>
      <c r="BZ16">
        <f>7539.422</f>
        <v>7539.4219999999996</v>
      </c>
      <c r="CA16">
        <f>8423.009</f>
        <v>8423.009</v>
      </c>
      <c r="CB16">
        <f>6174.705</f>
        <v>6174.7049999999999</v>
      </c>
      <c r="CC16">
        <f>6857.378</f>
        <v>6857.3779999999997</v>
      </c>
      <c r="CD16">
        <f>7595.349</f>
        <v>7595.3490000000002</v>
      </c>
      <c r="CE16">
        <f>8384.281</f>
        <v>8384.2810000000009</v>
      </c>
      <c r="CF16">
        <f>9075.466</f>
        <v>9075.4660000000003</v>
      </c>
      <c r="CG16">
        <f>9638.206</f>
        <v>9638.2060000000001</v>
      </c>
      <c r="CH16">
        <f>10067.222</f>
        <v>10067.222</v>
      </c>
      <c r="CI16">
        <f>10489.899</f>
        <v>10489.898999999999</v>
      </c>
      <c r="CJ16">
        <f>10878.139</f>
        <v>10878.138999999999</v>
      </c>
      <c r="CK16">
        <f>11234.193</f>
        <v>11234.192999999999</v>
      </c>
      <c r="CL16">
        <f>11519.187</f>
        <v>11519.187</v>
      </c>
      <c r="CM16">
        <f>11869.79</f>
        <v>11869.79</v>
      </c>
      <c r="CN16">
        <f>12277.551</f>
        <v>12277.550999999999</v>
      </c>
      <c r="CO16">
        <f>12190.031</f>
        <v>12190.031000000001</v>
      </c>
      <c r="CP16">
        <f>11831.529</f>
        <v>11831.529</v>
      </c>
      <c r="CQ16">
        <f>10276.668</f>
        <v>10276.668</v>
      </c>
      <c r="CR16">
        <f>10638.865</f>
        <v>10638.865</v>
      </c>
      <c r="CS16">
        <f>10187.23</f>
        <v>10187.23</v>
      </c>
      <c r="CT16">
        <f>10232.642</f>
        <v>10232.642</v>
      </c>
      <c r="CU16">
        <f>8995.707</f>
        <v>8995.7070000000003</v>
      </c>
      <c r="CV16">
        <f>4832.619</f>
        <v>4832.6189999999997</v>
      </c>
      <c r="CW16">
        <f>5004.398</f>
        <v>5004.3980000000001</v>
      </c>
      <c r="CX16">
        <f>4898.059</f>
        <v>4898.0590000000002</v>
      </c>
      <c r="CY16">
        <f>4936.937</f>
        <v>4936.9369999999999</v>
      </c>
      <c r="CZ16">
        <f>5022.953</f>
        <v>5022.9530000000004</v>
      </c>
      <c r="DA16">
        <f>5005.788</f>
        <v>5005.7879999999996</v>
      </c>
      <c r="DB16">
        <f>5015.868</f>
        <v>5015.8680000000004</v>
      </c>
      <c r="DC16">
        <f>4998.181</f>
        <v>4998.1809999999996</v>
      </c>
      <c r="DD16">
        <f>5233.064</f>
        <v>5233.0640000000003</v>
      </c>
      <c r="DE16">
        <f>4825.885</f>
        <v>4825.8850000000002</v>
      </c>
      <c r="DF16">
        <f>4755.819</f>
        <v>4755.8190000000004</v>
      </c>
      <c r="DG16">
        <f>4835.199</f>
        <v>4835.1989999999996</v>
      </c>
      <c r="DH16">
        <f>4749.925</f>
        <v>4749.9250000000002</v>
      </c>
      <c r="DI16">
        <f>3721.156</f>
        <v>3721.1559999999999</v>
      </c>
      <c r="DJ16">
        <f>3930.673</f>
        <v>3930.6729999999998</v>
      </c>
      <c r="DK16">
        <f>4152.843</f>
        <v>4152.8429999999998</v>
      </c>
      <c r="DL16">
        <f>4352.269</f>
        <v>4352.2690000000002</v>
      </c>
      <c r="DM16">
        <f>3018.735</f>
        <v>3018.7350000000001</v>
      </c>
      <c r="DN16">
        <f>2109.238</f>
        <v>2109.2379999999998</v>
      </c>
      <c r="DO16">
        <f>1176.082</f>
        <v>1176.0820000000001</v>
      </c>
      <c r="DP16">
        <f>18.996</f>
        <v>18.995999999999999</v>
      </c>
      <c r="DQ16">
        <f>18.996</f>
        <v>18.995999999999999</v>
      </c>
      <c r="DR16">
        <f>17.075</f>
        <v>17.074999999999999</v>
      </c>
      <c r="DS16">
        <f>18.386</f>
        <v>18.385999999999999</v>
      </c>
      <c r="DT16">
        <f>18.816</f>
        <v>18.815999999999999</v>
      </c>
      <c r="DU16" t="str">
        <f>""</f>
        <v/>
      </c>
    </row>
    <row r="17" spans="1:125" x14ac:dyDescent="0.25">
      <c r="A17" t="str">
        <f>"                M&amp;T Bank Corp"</f>
        <v xml:space="preserve">                M&amp;T Bank Corp</v>
      </c>
      <c r="B17" t="str">
        <f>"MTB US Equity"</f>
        <v>MTB US Equity</v>
      </c>
      <c r="C17" t="str">
        <f t="shared" si="0"/>
        <v>FC470</v>
      </c>
      <c r="D17" t="str">
        <f t="shared" si="1"/>
        <v>FDIC_SECS_HELD_TO_MTY_BOOK_VAL</v>
      </c>
      <c r="E17" t="str">
        <f t="shared" si="2"/>
        <v>Dynamic</v>
      </c>
      <c r="F17">
        <f ca="1">IF(AND(ISNUMBER($F$159),$B$145=1),$F$159,HLOOKUP(INDIRECT(ADDRESS(2,COLUMN())),OFFSET($BN$2,0,0,ROW()-1,60),ROW()-1,FALSE))</f>
        <v>14197.498</v>
      </c>
      <c r="G17">
        <f ca="1">IF(AND(ISNUMBER($G$159),$B$145=1),$G$159,HLOOKUP(INDIRECT(ADDRESS(2,COLUMN())),OFFSET($BN$2,0,0,ROW()-1,60),ROW()-1,FALSE))</f>
        <v>14505.436</v>
      </c>
      <c r="H17">
        <f ca="1">IF(AND(ISNUMBER($H$159),$B$145=1),$H$159,HLOOKUP(INDIRECT(ADDRESS(2,COLUMN())),OFFSET($BN$2,0,0,ROW()-1,60),ROW()-1,FALSE))</f>
        <v>14795.119000000001</v>
      </c>
      <c r="I17">
        <f ca="1">IF(AND(ISNUMBER($I$159),$B$145=1),$I$159,HLOOKUP(INDIRECT(ADDRESS(2,COLUMN())),OFFSET($BN$2,0,0,ROW()-1,60),ROW()-1,FALSE))</f>
        <v>15080.07</v>
      </c>
      <c r="J17">
        <f ca="1">IF(AND(ISNUMBER($J$159),$B$145=1),$J$159,HLOOKUP(INDIRECT(ADDRESS(2,COLUMN())),OFFSET($BN$2,0,0,ROW()-1,60),ROW()-1,FALSE))</f>
        <v>15331.963</v>
      </c>
      <c r="K17">
        <f ca="1">IF(AND(ISNUMBER($K$159),$B$145=1),$K$159,HLOOKUP(INDIRECT(ADDRESS(2,COLUMN())),OFFSET($BN$2,0,0,ROW()-1,60),ROW()-1,FALSE))</f>
        <v>15573.12</v>
      </c>
      <c r="L17">
        <f ca="1">IF(AND(ISNUMBER($L$159),$B$145=1),$L$159,HLOOKUP(INDIRECT(ADDRESS(2,COLUMN())),OFFSET($BN$2,0,0,ROW()-1,60),ROW()-1,FALSE))</f>
        <v>15920.106</v>
      </c>
      <c r="M17">
        <f ca="1">IF(AND(ISNUMBER($M$159),$B$145=1),$M$159,HLOOKUP(INDIRECT(ADDRESS(2,COLUMN())),OFFSET($BN$2,0,0,ROW()-1,60),ROW()-1,FALSE))</f>
        <v>16203.571</v>
      </c>
      <c r="N17">
        <f ca="1">IF(AND(ISNUMBER($N$159),$B$145=1),$N$159,HLOOKUP(INDIRECT(ADDRESS(2,COLUMN())),OFFSET($BN$2,0,0,ROW()-1,60),ROW()-1,FALSE))</f>
        <v>13531.968999999999</v>
      </c>
      <c r="O17">
        <f ca="1">IF(AND(ISNUMBER($O$159),$B$145=1),$O$159,HLOOKUP(INDIRECT(ADDRESS(2,COLUMN())),OFFSET($BN$2,0,0,ROW()-1,60),ROW()-1,FALSE))</f>
        <v>12900.861999999999</v>
      </c>
      <c r="P17">
        <f ca="1">IF(AND(ISNUMBER($P$159),$B$145=1),$P$159,HLOOKUP(INDIRECT(ADDRESS(2,COLUMN())),OFFSET($BN$2,0,0,ROW()-1,60),ROW()-1,FALSE))</f>
        <v>13375.171</v>
      </c>
      <c r="Q17">
        <f ca="1">IF(AND(ISNUMBER($Q$159),$B$145=1),$Q$159,HLOOKUP(INDIRECT(ADDRESS(2,COLUMN())),OFFSET($BN$2,0,0,ROW()-1,60),ROW()-1,FALSE))</f>
        <v>3180.6260000000002</v>
      </c>
      <c r="R17">
        <f ca="1">IF(AND(ISNUMBER($R$159),$B$145=1),$R$159,HLOOKUP(INDIRECT(ADDRESS(2,COLUMN())),OFFSET($BN$2,0,0,ROW()-1,60),ROW()-1,FALSE))</f>
        <v>2734.674</v>
      </c>
      <c r="S17">
        <f ca="1">IF(AND(ISNUMBER($S$159),$B$145=1),$S$159,HLOOKUP(INDIRECT(ADDRESS(2,COLUMN())),OFFSET($BN$2,0,0,ROW()-1,60),ROW()-1,FALSE))</f>
        <v>2359.7269999999999</v>
      </c>
      <c r="T17">
        <f ca="1">IF(AND(ISNUMBER($T$159),$B$145=1),$T$159,HLOOKUP(INDIRECT(ADDRESS(2,COLUMN())),OFFSET($BN$2,0,0,ROW()-1,60),ROW()-1,FALSE))</f>
        <v>1718.1980000000001</v>
      </c>
      <c r="U17">
        <f ca="1">IF(AND(ISNUMBER($U$159),$B$145=1),$U$159,HLOOKUP(INDIRECT(ADDRESS(2,COLUMN())),OFFSET($BN$2,0,0,ROW()-1,60),ROW()-1,FALSE))</f>
        <v>1778.135</v>
      </c>
      <c r="V17">
        <f ca="1">IF(AND(ISNUMBER($V$159),$B$145=1),$V$159,HLOOKUP(INDIRECT(ADDRESS(2,COLUMN())),OFFSET($BN$2,0,0,ROW()-1,60),ROW()-1,FALSE))</f>
        <v>1748.989</v>
      </c>
      <c r="W17">
        <f ca="1">IF(AND(ISNUMBER($W$159),$B$145=1),$W$159,HLOOKUP(INDIRECT(ADDRESS(2,COLUMN())),OFFSET($BN$2,0,0,ROW()-1,60),ROW()-1,FALSE))</f>
        <v>1938.694</v>
      </c>
      <c r="X17">
        <f ca="1">IF(AND(ISNUMBER($X$159),$B$145=1),$X$159,HLOOKUP(INDIRECT(ADDRESS(2,COLUMN())),OFFSET($BN$2,0,0,ROW()-1,60),ROW()-1,FALSE))</f>
        <v>2158.982</v>
      </c>
      <c r="Y17">
        <f ca="1">IF(AND(ISNUMBER($Y$159),$B$145=1),$Y$159,HLOOKUP(INDIRECT(ADDRESS(2,COLUMN())),OFFSET($BN$2,0,0,ROW()-1,60),ROW()-1,FALSE))</f>
        <v>2300.6419999999998</v>
      </c>
      <c r="Z17">
        <f ca="1">IF(AND(ISNUMBER($Z$159),$B$145=1),$Z$159,HLOOKUP(INDIRECT(ADDRESS(2,COLUMN())),OFFSET($BN$2,0,0,ROW()-1,60),ROW()-1,FALSE))</f>
        <v>2656.9169999999999</v>
      </c>
      <c r="AA17">
        <f ca="1">IF(AND(ISNUMBER($AA$159),$B$145=1),$AA$159,HLOOKUP(INDIRECT(ADDRESS(2,COLUMN())),OFFSET($BN$2,0,0,ROW()-1,60),ROW()-1,FALSE))</f>
        <v>3031.299</v>
      </c>
      <c r="AB17">
        <f ca="1">IF(AND(ISNUMBER($AB$159),$B$145=1),$AB$159,HLOOKUP(INDIRECT(ADDRESS(2,COLUMN())),OFFSET($BN$2,0,0,ROW()-1,60),ROW()-1,FALSE))</f>
        <v>3604.2330000000002</v>
      </c>
      <c r="AC17">
        <f ca="1">IF(AND(ISNUMBER($AC$159),$B$145=1),$AC$159,HLOOKUP(INDIRECT(ADDRESS(2,COLUMN())),OFFSET($BN$2,0,0,ROW()-1,60),ROW()-1,FALSE))</f>
        <v>3714.6990000000001</v>
      </c>
      <c r="AD17">
        <f ca="1">IF(AND(ISNUMBER($AD$159),$B$145=1),$AD$159,HLOOKUP(INDIRECT(ADDRESS(2,COLUMN())),OFFSET($BN$2,0,0,ROW()-1,60),ROW()-1,FALSE))</f>
        <v>3316.64</v>
      </c>
      <c r="AE17">
        <f ca="1">IF(AND(ISNUMBER($AE$159),$B$145=1),$AE$159,HLOOKUP(INDIRECT(ADDRESS(2,COLUMN())),OFFSET($BN$2,0,0,ROW()-1,60),ROW()-1,FALSE))</f>
        <v>3418.7190000000001</v>
      </c>
      <c r="AF17">
        <f ca="1">IF(AND(ISNUMBER($AF$159),$B$145=1),$AF$159,HLOOKUP(INDIRECT(ADDRESS(2,COLUMN())),OFFSET($BN$2,0,0,ROW()-1,60),ROW()-1,FALSE))</f>
        <v>3101.0949999999998</v>
      </c>
      <c r="AG17">
        <f ca="1">IF(AND(ISNUMBER($AG$159),$B$145=1),$AG$159,HLOOKUP(INDIRECT(ADDRESS(2,COLUMN())),OFFSET($BN$2,0,0,ROW()-1,60),ROW()-1,FALSE))</f>
        <v>3228.7559999999999</v>
      </c>
      <c r="AH17">
        <f ca="1">IF(AND(ISNUMBER($AH$159),$B$145=1),$AH$159,HLOOKUP(INDIRECT(ADDRESS(2,COLUMN())),OFFSET($BN$2,0,0,ROW()-1,60),ROW()-1,FALSE))</f>
        <v>3353.2130000000002</v>
      </c>
      <c r="AI17">
        <f ca="1">IF(AND(ISNUMBER($AI$159),$B$145=1),$AI$159,HLOOKUP(INDIRECT(ADDRESS(2,COLUMN())),OFFSET($BN$2,0,0,ROW()-1,60),ROW()-1,FALSE))</f>
        <v>3242.1239999999998</v>
      </c>
      <c r="AJ17">
        <f ca="1">IF(AND(ISNUMBER($AJ$159),$B$145=1),$AJ$159,HLOOKUP(INDIRECT(ADDRESS(2,COLUMN())),OFFSET($BN$2,0,0,ROW()-1,60),ROW()-1,FALSE))</f>
        <v>3388.268</v>
      </c>
      <c r="AK17">
        <f ca="1">IF(AND(ISNUMBER($AK$159),$B$145=1),$AK$159,HLOOKUP(INDIRECT(ADDRESS(2,COLUMN())),OFFSET($BN$2,0,0,ROW()-1,60),ROW()-1,FALSE))</f>
        <v>2876.1190000000001</v>
      </c>
      <c r="AL17">
        <f ca="1">IF(AND(ISNUMBER($AL$159),$B$145=1),$AL$159,HLOOKUP(INDIRECT(ADDRESS(2,COLUMN())),OFFSET($BN$2,0,0,ROW()-1,60),ROW()-1,FALSE))</f>
        <v>2457.2779999999998</v>
      </c>
      <c r="AM17">
        <f ca="1">IF(AND(ISNUMBER($AM$159),$B$145=1),$AM$159,HLOOKUP(INDIRECT(ADDRESS(2,COLUMN())),OFFSET($BN$2,0,0,ROW()-1,60),ROW()-1,FALSE))</f>
        <v>2409.9499999999998</v>
      </c>
      <c r="AN17">
        <f ca="1">IF(AND(ISNUMBER($AN$159),$B$145=1),$AN$159,HLOOKUP(INDIRECT(ADDRESS(2,COLUMN())),OFFSET($BN$2,0,0,ROW()-1,60),ROW()-1,FALSE))</f>
        <v>2574.4209999999998</v>
      </c>
      <c r="AO17">
        <f ca="1">IF(AND(ISNUMBER($AO$159),$B$145=1),$AO$159,HLOOKUP(INDIRECT(ADDRESS(2,COLUMN())),OFFSET($BN$2,0,0,ROW()-1,60),ROW()-1,FALSE))</f>
        <v>2730.6109999999999</v>
      </c>
      <c r="AP17">
        <f ca="1">IF(AND(ISNUMBER($AP$159),$B$145=1),$AP$159,HLOOKUP(INDIRECT(ADDRESS(2,COLUMN())),OFFSET($BN$2,0,0,ROW()-1,60),ROW()-1,FALSE))</f>
        <v>2859.7089999999998</v>
      </c>
      <c r="AQ17">
        <f ca="1">IF(AND(ISNUMBER($AQ$159),$B$145=1),$AQ$159,HLOOKUP(INDIRECT(ADDRESS(2,COLUMN())),OFFSET($BN$2,0,0,ROW()-1,60),ROW()-1,FALSE))</f>
        <v>2998.4859999999999</v>
      </c>
      <c r="AR17">
        <f ca="1">IF(AND(ISNUMBER($AR$159),$B$145=1),$AR$159,HLOOKUP(INDIRECT(ADDRESS(2,COLUMN())),OFFSET($BN$2,0,0,ROW()-1,60),ROW()-1,FALSE))</f>
        <v>3164.585</v>
      </c>
      <c r="AS17">
        <f ca="1">IF(AND(ISNUMBER($AS$159),$B$145=1),$AS$159,HLOOKUP(INDIRECT(ADDRESS(2,COLUMN())),OFFSET($BN$2,0,0,ROW()-1,60),ROW()-1,FALSE))</f>
        <v>3360.8119999999999</v>
      </c>
      <c r="AT17">
        <f ca="1">IF(AND(ISNUMBER($AT$159),$B$145=1),$AT$159,HLOOKUP(INDIRECT(ADDRESS(2,COLUMN())),OFFSET($BN$2,0,0,ROW()-1,60),ROW()-1,FALSE))</f>
        <v>3507.8679999999999</v>
      </c>
      <c r="AU17">
        <f ca="1">IF(AND(ISNUMBER($AU$159),$B$145=1),$AU$159,HLOOKUP(INDIRECT(ADDRESS(2,COLUMN())),OFFSET($BN$2,0,0,ROW()-1,60),ROW()-1,FALSE))</f>
        <v>3635.8150000000001</v>
      </c>
      <c r="AV17">
        <f ca="1">IF(AND(ISNUMBER($AV$159),$B$145=1),$AV$159,HLOOKUP(INDIRECT(ADDRESS(2,COLUMN())),OFFSET($BN$2,0,0,ROW()-1,60),ROW()-1,FALSE))</f>
        <v>3760.665</v>
      </c>
      <c r="AW17">
        <f ca="1">IF(AND(ISNUMBER($AW$159),$B$145=1),$AW$159,HLOOKUP(INDIRECT(ADDRESS(2,COLUMN())),OFFSET($BN$2,0,0,ROW()-1,60),ROW()-1,FALSE))</f>
        <v>3873.9850000000001</v>
      </c>
      <c r="AX17">
        <f ca="1">IF(AND(ISNUMBER($AX$159),$B$145=1),$AX$159,HLOOKUP(INDIRECT(ADDRESS(2,COLUMN())),OFFSET($BN$2,0,0,ROW()-1,60),ROW()-1,FALSE))</f>
        <v>3966.13</v>
      </c>
      <c r="AY17">
        <f ca="1">IF(AND(ISNUMBER($AY$159),$B$145=1),$AY$159,HLOOKUP(INDIRECT(ADDRESS(2,COLUMN())),OFFSET($BN$2,0,0,ROW()-1,60),ROW()-1,FALSE))</f>
        <v>3319.114</v>
      </c>
      <c r="AZ17">
        <f ca="1">IF(AND(ISNUMBER($AZ$159),$B$145=1),$AZ$159,HLOOKUP(INDIRECT(ADDRESS(2,COLUMN())),OFFSET($BN$2,0,0,ROW()-1,60),ROW()-1,FALSE))</f>
        <v>1819.691</v>
      </c>
      <c r="BA17">
        <f ca="1">IF(AND(ISNUMBER($BA$159),$B$145=1),$BA$159,HLOOKUP(INDIRECT(ADDRESS(2,COLUMN())),OFFSET($BN$2,0,0,ROW()-1,60),ROW()-1,FALSE))</f>
        <v>959.19899999999996</v>
      </c>
      <c r="BB17">
        <f ca="1">IF(AND(ISNUMBER($BB$159),$B$145=1),$BB$159,HLOOKUP(INDIRECT(ADDRESS(2,COLUMN())),OFFSET($BN$2,0,0,ROW()-1,60),ROW()-1,FALSE))</f>
        <v>1032.2760000000001</v>
      </c>
      <c r="BC17">
        <f ca="1">IF(AND(ISNUMBER($BC$159),$B$145=1),$BC$159,HLOOKUP(INDIRECT(ADDRESS(2,COLUMN())),OFFSET($BN$2,0,0,ROW()-1,60),ROW()-1,FALSE))</f>
        <v>1121.325</v>
      </c>
      <c r="BD17">
        <f ca="1">IF(AND(ISNUMBER($BD$159),$B$145=1),$BD$159,HLOOKUP(INDIRECT(ADDRESS(2,COLUMN())),OFFSET($BN$2,0,0,ROW()-1,60),ROW()-1,FALSE))</f>
        <v>1188.4649999999999</v>
      </c>
      <c r="BE17">
        <f ca="1">IF(AND(ISNUMBER($BE$159),$B$145=1),$BE$159,HLOOKUP(INDIRECT(ADDRESS(2,COLUMN())),OFFSET($BN$2,0,0,ROW()-1,60),ROW()-1,FALSE))</f>
        <v>1000.294</v>
      </c>
      <c r="BF17">
        <f ca="1">IF(AND(ISNUMBER($BF$159),$B$145=1),$BF$159,HLOOKUP(INDIRECT(ADDRESS(2,COLUMN())),OFFSET($BN$2,0,0,ROW()-1,60),ROW()-1,FALSE))</f>
        <v>1077.7080000000001</v>
      </c>
      <c r="BG17">
        <f ca="1">IF(AND(ISNUMBER($BG$159),$B$145=1),$BG$159,HLOOKUP(INDIRECT(ADDRESS(2,COLUMN())),OFFSET($BN$2,0,0,ROW()-1,60),ROW()-1,FALSE))</f>
        <v>1161.837</v>
      </c>
      <c r="BH17">
        <f ca="1">IF(AND(ISNUMBER($BH$159),$B$145=1),$BH$159,HLOOKUP(INDIRECT(ADDRESS(2,COLUMN())),OFFSET($BN$2,0,0,ROW()-1,60),ROW()-1,FALSE))</f>
        <v>1219.6859999999999</v>
      </c>
      <c r="BI17">
        <f ca="1">IF(AND(ISNUMBER($BI$159),$B$145=1),$BI$159,HLOOKUP(INDIRECT(ADDRESS(2,COLUMN())),OFFSET($BN$2,0,0,ROW()-1,60),ROW()-1,FALSE))</f>
        <v>1262.0889999999999</v>
      </c>
      <c r="BJ17">
        <f ca="1">IF(AND(ISNUMBER($BJ$159),$B$145=1),$BJ$159,HLOOKUP(INDIRECT(ADDRESS(2,COLUMN())),OFFSET($BN$2,0,0,ROW()-1,60),ROW()-1,FALSE))</f>
        <v>1324.3389999999999</v>
      </c>
      <c r="BK17">
        <f ca="1">IF(AND(ISNUMBER($BK$159),$B$145=1),$BK$159,HLOOKUP(INDIRECT(ADDRESS(2,COLUMN())),OFFSET($BN$2,0,0,ROW()-1,60),ROW()-1,FALSE))</f>
        <v>1425.7170000000001</v>
      </c>
      <c r="BL17">
        <f ca="1">IF(AND(ISNUMBER($BL$159),$B$145=1),$BL$159,HLOOKUP(INDIRECT(ADDRESS(2,COLUMN())),OFFSET($BN$2,0,0,ROW()-1,60),ROW()-1,FALSE))</f>
        <v>1481.5409999999999</v>
      </c>
      <c r="BM17" t="str">
        <f ca="1">IF(AND(ISNUMBER($BM$159),$B$145=1),$BM$159,HLOOKUP(INDIRECT(ADDRESS(2,COLUMN())),OFFSET($BN$2,0,0,ROW()-1,60),ROW()-1,FALSE))</f>
        <v/>
      </c>
      <c r="BN17">
        <f>14197.498</f>
        <v>14197.498</v>
      </c>
      <c r="BO17">
        <f>14505.436</f>
        <v>14505.436</v>
      </c>
      <c r="BP17">
        <f>14795.119</f>
        <v>14795.119000000001</v>
      </c>
      <c r="BQ17">
        <f>15080.07</f>
        <v>15080.07</v>
      </c>
      <c r="BR17">
        <f>15331.963</f>
        <v>15331.963</v>
      </c>
      <c r="BS17">
        <f>15573.12</f>
        <v>15573.12</v>
      </c>
      <c r="BT17">
        <f>15920.106</f>
        <v>15920.106</v>
      </c>
      <c r="BU17">
        <f>16203.571</f>
        <v>16203.571</v>
      </c>
      <c r="BV17">
        <f>13531.969</f>
        <v>13531.968999999999</v>
      </c>
      <c r="BW17">
        <f>12900.862</f>
        <v>12900.861999999999</v>
      </c>
      <c r="BX17">
        <f>13375.171</f>
        <v>13375.171</v>
      </c>
      <c r="BY17">
        <f>3180.626</f>
        <v>3180.6260000000002</v>
      </c>
      <c r="BZ17">
        <f>2734.674</f>
        <v>2734.674</v>
      </c>
      <c r="CA17">
        <f>2359.727</f>
        <v>2359.7269999999999</v>
      </c>
      <c r="CB17">
        <f>1718.198</f>
        <v>1718.1980000000001</v>
      </c>
      <c r="CC17">
        <f>1778.135</f>
        <v>1778.135</v>
      </c>
      <c r="CD17">
        <f>1748.989</f>
        <v>1748.989</v>
      </c>
      <c r="CE17">
        <f>1938.694</f>
        <v>1938.694</v>
      </c>
      <c r="CF17">
        <f>2158.982</f>
        <v>2158.982</v>
      </c>
      <c r="CG17">
        <f>2300.642</f>
        <v>2300.6419999999998</v>
      </c>
      <c r="CH17">
        <f>2656.917</f>
        <v>2656.9169999999999</v>
      </c>
      <c r="CI17">
        <f>3031.299</f>
        <v>3031.299</v>
      </c>
      <c r="CJ17">
        <f>3604.233</f>
        <v>3604.2330000000002</v>
      </c>
      <c r="CK17">
        <f>3714.699</f>
        <v>3714.6990000000001</v>
      </c>
      <c r="CL17">
        <f>3316.64</f>
        <v>3316.64</v>
      </c>
      <c r="CM17">
        <f>3418.719</f>
        <v>3418.7190000000001</v>
      </c>
      <c r="CN17">
        <f>3101.095</f>
        <v>3101.0949999999998</v>
      </c>
      <c r="CO17">
        <f>3228.756</f>
        <v>3228.7559999999999</v>
      </c>
      <c r="CP17">
        <f>3353.213</f>
        <v>3353.2130000000002</v>
      </c>
      <c r="CQ17">
        <f>3242.124</f>
        <v>3242.1239999999998</v>
      </c>
      <c r="CR17">
        <f>3388.268</f>
        <v>3388.268</v>
      </c>
      <c r="CS17">
        <f>2876.119</f>
        <v>2876.1190000000001</v>
      </c>
      <c r="CT17">
        <f>2457.278</f>
        <v>2457.2779999999998</v>
      </c>
      <c r="CU17">
        <f>2409.95</f>
        <v>2409.9499999999998</v>
      </c>
      <c r="CV17">
        <f>2574.421</f>
        <v>2574.4209999999998</v>
      </c>
      <c r="CW17">
        <f>2730.611</f>
        <v>2730.6109999999999</v>
      </c>
      <c r="CX17">
        <f>2859.709</f>
        <v>2859.7089999999998</v>
      </c>
      <c r="CY17">
        <f>2998.486</f>
        <v>2998.4859999999999</v>
      </c>
      <c r="CZ17">
        <f>3164.585</f>
        <v>3164.585</v>
      </c>
      <c r="DA17">
        <f>3360.812</f>
        <v>3360.8119999999999</v>
      </c>
      <c r="DB17">
        <f>3507.868</f>
        <v>3507.8679999999999</v>
      </c>
      <c r="DC17">
        <f>3635.815</f>
        <v>3635.8150000000001</v>
      </c>
      <c r="DD17">
        <f>3760.665</f>
        <v>3760.665</v>
      </c>
      <c r="DE17">
        <f>3873.985</f>
        <v>3873.9850000000001</v>
      </c>
      <c r="DF17">
        <f>3966.13</f>
        <v>3966.13</v>
      </c>
      <c r="DG17">
        <f>3319.114</f>
        <v>3319.114</v>
      </c>
      <c r="DH17">
        <f>1819.691</f>
        <v>1819.691</v>
      </c>
      <c r="DI17">
        <f>959.199</f>
        <v>959.19899999999996</v>
      </c>
      <c r="DJ17">
        <f>1032.276</f>
        <v>1032.2760000000001</v>
      </c>
      <c r="DK17">
        <f>1121.325</f>
        <v>1121.325</v>
      </c>
      <c r="DL17">
        <f>1188.465</f>
        <v>1188.4649999999999</v>
      </c>
      <c r="DM17">
        <f>1000.294</f>
        <v>1000.294</v>
      </c>
      <c r="DN17">
        <f>1077.708</f>
        <v>1077.7080000000001</v>
      </c>
      <c r="DO17">
        <f>1161.837</f>
        <v>1161.837</v>
      </c>
      <c r="DP17">
        <f>1219.686</f>
        <v>1219.6859999999999</v>
      </c>
      <c r="DQ17">
        <f>1262.089</f>
        <v>1262.0889999999999</v>
      </c>
      <c r="DR17">
        <f>1324.339</f>
        <v>1324.3389999999999</v>
      </c>
      <c r="DS17">
        <f>1425.717</f>
        <v>1425.7170000000001</v>
      </c>
      <c r="DT17">
        <f>1481.541</f>
        <v>1481.5409999999999</v>
      </c>
      <c r="DU17" t="str">
        <f>""</f>
        <v/>
      </c>
    </row>
    <row r="18" spans="1:125" x14ac:dyDescent="0.25">
      <c r="A18" t="str">
        <f>"                PNC Financial Services Group I"</f>
        <v xml:space="preserve">                PNC Financial Services Group I</v>
      </c>
      <c r="B18" t="str">
        <f>"PNC US Equity"</f>
        <v>PNC US Equity</v>
      </c>
      <c r="C18" t="str">
        <f t="shared" si="0"/>
        <v>FC470</v>
      </c>
      <c r="D18" t="str">
        <f t="shared" si="1"/>
        <v>FDIC_SECS_HELD_TO_MTY_BOOK_VAL</v>
      </c>
      <c r="E18" t="str">
        <f t="shared" si="2"/>
        <v>Dynamic</v>
      </c>
      <c r="F18" t="str">
        <f ca="1">IF(AND(ISNUMBER($F$160),$B$145=1),$F$160,HLOOKUP(INDIRECT(ADDRESS(2,COLUMN())),OFFSET($BN$2,0,0,ROW()-1,60),ROW()-1,FALSE))</f>
        <v/>
      </c>
      <c r="G18" t="str">
        <f ca="1">IF(AND(ISNUMBER($G$160),$B$145=1),$G$160,HLOOKUP(INDIRECT(ADDRESS(2,COLUMN())),OFFSET($BN$2,0,0,ROW()-1,60),ROW()-1,FALSE))</f>
        <v/>
      </c>
      <c r="H18">
        <f ca="1">IF(AND(ISNUMBER($H$160),$B$145=1),$H$160,HLOOKUP(INDIRECT(ADDRESS(2,COLUMN())),OFFSET($BN$2,0,0,ROW()-1,60),ROW()-1,FALSE))</f>
        <v>87461.873000000007</v>
      </c>
      <c r="I18">
        <f ca="1">IF(AND(ISNUMBER($I$160),$B$145=1),$I$160,HLOOKUP(INDIRECT(ADDRESS(2,COLUMN())),OFFSET($BN$2,0,0,ROW()-1,60),ROW()-1,FALSE))</f>
        <v>88184.75</v>
      </c>
      <c r="J18">
        <f ca="1">IF(AND(ISNUMBER($J$160),$B$145=1),$J$160,HLOOKUP(INDIRECT(ADDRESS(2,COLUMN())),OFFSET($BN$2,0,0,ROW()-1,60),ROW()-1,FALSE))</f>
        <v>90789.845000000001</v>
      </c>
      <c r="K18">
        <f ca="1">IF(AND(ISNUMBER($K$160),$B$145=1),$K$160,HLOOKUP(INDIRECT(ADDRESS(2,COLUMN())),OFFSET($BN$2,0,0,ROW()-1,60),ROW()-1,FALSE))</f>
        <v>91803.187000000005</v>
      </c>
      <c r="L18">
        <f ca="1">IF(AND(ISNUMBER($L$160),$B$145=1),$L$160,HLOOKUP(INDIRECT(ADDRESS(2,COLUMN())),OFFSET($BN$2,0,0,ROW()-1,60),ROW()-1,FALSE))</f>
        <v>93879.448000000004</v>
      </c>
      <c r="M18">
        <f ca="1">IF(AND(ISNUMBER($M$160),$B$145=1),$M$160,HLOOKUP(INDIRECT(ADDRESS(2,COLUMN())),OFFSET($BN$2,0,0,ROW()-1,60),ROW()-1,FALSE))</f>
        <v>95025.202999999994</v>
      </c>
      <c r="N18">
        <f ca="1">IF(AND(ISNUMBER($N$160),$B$145=1),$N$160,HLOOKUP(INDIRECT(ADDRESS(2,COLUMN())),OFFSET($BN$2,0,0,ROW()-1,60),ROW()-1,FALSE))</f>
        <v>95182.766000000003</v>
      </c>
      <c r="O18">
        <f ca="1">IF(AND(ISNUMBER($O$160),$B$145=1),$O$160,HLOOKUP(INDIRECT(ADDRESS(2,COLUMN())),OFFSET($BN$2,0,0,ROW()-1,60),ROW()-1,FALSE))</f>
        <v>90659.995999999999</v>
      </c>
      <c r="P18">
        <f ca="1">IF(AND(ISNUMBER($P$160),$B$145=1),$P$160,HLOOKUP(INDIRECT(ADDRESS(2,COLUMN())),OFFSET($BN$2,0,0,ROW()-1,60),ROW()-1,FALSE))</f>
        <v>79752.633000000002</v>
      </c>
      <c r="Q18">
        <f ca="1">IF(AND(ISNUMBER($Q$160),$B$145=1),$Q$160,HLOOKUP(INDIRECT(ADDRESS(2,COLUMN())),OFFSET($BN$2,0,0,ROW()-1,60),ROW()-1,FALSE))</f>
        <v>20101.071</v>
      </c>
      <c r="R18">
        <f ca="1">IF(AND(ISNUMBER($R$160),$B$145=1),$R$160,HLOOKUP(INDIRECT(ADDRESS(2,COLUMN())),OFFSET($BN$2,0,0,ROW()-1,60),ROW()-1,FALSE))</f>
        <v>1429.364</v>
      </c>
      <c r="S18">
        <f ca="1">IF(AND(ISNUMBER($S$160),$B$145=1),$S$160,HLOOKUP(INDIRECT(ADDRESS(2,COLUMN())),OFFSET($BN$2,0,0,ROW()-1,60),ROW()-1,FALSE))</f>
        <v>1482.1780000000001</v>
      </c>
      <c r="T18">
        <f ca="1">IF(AND(ISNUMBER($T$160),$B$145=1),$T$160,HLOOKUP(INDIRECT(ADDRESS(2,COLUMN())),OFFSET($BN$2,0,0,ROW()-1,60),ROW()-1,FALSE))</f>
        <v>1488.635</v>
      </c>
      <c r="U18">
        <f ca="1">IF(AND(ISNUMBER($U$160),$B$145=1),$U$160,HLOOKUP(INDIRECT(ADDRESS(2,COLUMN())),OFFSET($BN$2,0,0,ROW()-1,60),ROW()-1,FALSE))</f>
        <v>1459.211</v>
      </c>
      <c r="V18">
        <f ca="1">IF(AND(ISNUMBER($V$160),$B$145=1),$V$160,HLOOKUP(INDIRECT(ADDRESS(2,COLUMN())),OFFSET($BN$2,0,0,ROW()-1,60),ROW()-1,FALSE))</f>
        <v>1444.7080000000001</v>
      </c>
      <c r="W18">
        <f ca="1">IF(AND(ISNUMBER($W$160),$B$145=1),$W$160,HLOOKUP(INDIRECT(ADDRESS(2,COLUMN())),OFFSET($BN$2,0,0,ROW()-1,60),ROW()-1,FALSE))</f>
        <v>1441.5930000000001</v>
      </c>
      <c r="X18">
        <f ca="1">IF(AND(ISNUMBER($X$160),$B$145=1),$X$160,HLOOKUP(INDIRECT(ADDRESS(2,COLUMN())),OFFSET($BN$2,0,0,ROW()-1,60),ROW()-1,FALSE))</f>
        <v>1443.2380000000001</v>
      </c>
      <c r="Y18">
        <f ca="1">IF(AND(ISNUMBER($Y$160),$B$145=1),$Y$160,HLOOKUP(INDIRECT(ADDRESS(2,COLUMN())),OFFSET($BN$2,0,0,ROW()-1,60),ROW()-1,FALSE))</f>
        <v>1470.212</v>
      </c>
      <c r="Z18">
        <f ca="1">IF(AND(ISNUMBER($Z$160),$B$145=1),$Z$160,HLOOKUP(INDIRECT(ADDRESS(2,COLUMN())),OFFSET($BN$2,0,0,ROW()-1,60),ROW()-1,FALSE))</f>
        <v>17660.919999999998</v>
      </c>
      <c r="AA18">
        <f ca="1">IF(AND(ISNUMBER($AA$160),$B$145=1),$AA$160,HLOOKUP(INDIRECT(ADDRESS(2,COLUMN())),OFFSET($BN$2,0,0,ROW()-1,60),ROW()-1,FALSE))</f>
        <v>18826.030999999999</v>
      </c>
      <c r="AB18">
        <f ca="1">IF(AND(ISNUMBER($AB$160),$B$145=1),$AB$160,HLOOKUP(INDIRECT(ADDRESS(2,COLUMN())),OFFSET($BN$2,0,0,ROW()-1,60),ROW()-1,FALSE))</f>
        <v>18948.210999999999</v>
      </c>
      <c r="AC18">
        <f ca="1">IF(AND(ISNUMBER($AC$160),$B$145=1),$AC$160,HLOOKUP(INDIRECT(ADDRESS(2,COLUMN())),OFFSET($BN$2,0,0,ROW()-1,60),ROW()-1,FALSE))</f>
        <v>18817.686000000002</v>
      </c>
      <c r="AD18">
        <f ca="1">IF(AND(ISNUMBER($AD$160),$B$145=1),$AD$160,HLOOKUP(INDIRECT(ADDRESS(2,COLUMN())),OFFSET($BN$2,0,0,ROW()-1,60),ROW()-1,FALSE))</f>
        <v>19312.402999999998</v>
      </c>
      <c r="AE18">
        <f ca="1">IF(AND(ISNUMBER($AE$160),$B$145=1),$AE$160,HLOOKUP(INDIRECT(ADDRESS(2,COLUMN())),OFFSET($BN$2,0,0,ROW()-1,60),ROW()-1,FALSE))</f>
        <v>19593.225999999999</v>
      </c>
      <c r="AF18">
        <f ca="1">IF(AND(ISNUMBER($AF$160),$B$145=1),$AF$160,HLOOKUP(INDIRECT(ADDRESS(2,COLUMN())),OFFSET($BN$2,0,0,ROW()-1,60),ROW()-1,FALSE))</f>
        <v>19850.013999999999</v>
      </c>
      <c r="AG18">
        <f ca="1">IF(AND(ISNUMBER($AG$160),$B$145=1),$AG$160,HLOOKUP(INDIRECT(ADDRESS(2,COLUMN())),OFFSET($BN$2,0,0,ROW()-1,60),ROW()-1,FALSE))</f>
        <v>18543.986000000001</v>
      </c>
      <c r="AH18">
        <f ca="1">IF(AND(ISNUMBER($AH$160),$B$145=1),$AH$160,HLOOKUP(INDIRECT(ADDRESS(2,COLUMN())),OFFSET($BN$2,0,0,ROW()-1,60),ROW()-1,FALSE))</f>
        <v>18513.631000000001</v>
      </c>
      <c r="AI18">
        <f ca="1">IF(AND(ISNUMBER($AI$160),$B$145=1),$AI$160,HLOOKUP(INDIRECT(ADDRESS(2,COLUMN())),OFFSET($BN$2,0,0,ROW()-1,60),ROW()-1,FALSE))</f>
        <v>17740.485000000001</v>
      </c>
      <c r="AJ18">
        <f ca="1">IF(AND(ISNUMBER($AJ$160),$B$145=1),$AJ$160,HLOOKUP(INDIRECT(ADDRESS(2,COLUMN())),OFFSET($BN$2,0,0,ROW()-1,60),ROW()-1,FALSE))</f>
        <v>17552.57</v>
      </c>
      <c r="AK18">
        <f ca="1">IF(AND(ISNUMBER($AK$160),$B$145=1),$AK$160,HLOOKUP(INDIRECT(ADDRESS(2,COLUMN())),OFFSET($BN$2,0,0,ROW()-1,60),ROW()-1,FALSE))</f>
        <v>17092.489000000001</v>
      </c>
      <c r="AL18">
        <f ca="1">IF(AND(ISNUMBER($AL$160),$B$145=1),$AL$160,HLOOKUP(INDIRECT(ADDRESS(2,COLUMN())),OFFSET($BN$2,0,0,ROW()-1,60),ROW()-1,FALSE))</f>
        <v>15843.073</v>
      </c>
      <c r="AM18">
        <f ca="1">IF(AND(ISNUMBER($AM$160),$B$145=1),$AM$160,HLOOKUP(INDIRECT(ADDRESS(2,COLUMN())),OFFSET($BN$2,0,0,ROW()-1,60),ROW()-1,FALSE))</f>
        <v>16573.081999999999</v>
      </c>
      <c r="AN18">
        <f ca="1">IF(AND(ISNUMBER($AN$160),$B$145=1),$AN$160,HLOOKUP(INDIRECT(ADDRESS(2,COLUMN())),OFFSET($BN$2,0,0,ROW()-1,60),ROW()-1,FALSE))</f>
        <v>14917.199000000001</v>
      </c>
      <c r="AO18">
        <f ca="1">IF(AND(ISNUMBER($AO$160),$B$145=1),$AO$160,HLOOKUP(INDIRECT(ADDRESS(2,COLUMN())),OFFSET($BN$2,0,0,ROW()-1,60),ROW()-1,FALSE))</f>
        <v>15154.11</v>
      </c>
      <c r="AP18">
        <f ca="1">IF(AND(ISNUMBER($AP$160),$B$145=1),$AP$160,HLOOKUP(INDIRECT(ADDRESS(2,COLUMN())),OFFSET($BN$2,0,0,ROW()-1,60),ROW()-1,FALSE))</f>
        <v>14768.321</v>
      </c>
      <c r="AQ18">
        <f ca="1">IF(AND(ISNUMBER($AQ$160),$B$145=1),$AQ$160,HLOOKUP(INDIRECT(ADDRESS(2,COLUMN())),OFFSET($BN$2,0,0,ROW()-1,60),ROW()-1,FALSE))</f>
        <v>14403.12</v>
      </c>
      <c r="AR18">
        <f ca="1">IF(AND(ISNUMBER($AR$160),$B$145=1),$AR$160,HLOOKUP(INDIRECT(ADDRESS(2,COLUMN())),OFFSET($BN$2,0,0,ROW()-1,60),ROW()-1,FALSE))</f>
        <v>13682.545</v>
      </c>
      <c r="AS18">
        <f ca="1">IF(AND(ISNUMBER($AS$160),$B$145=1),$AS$160,HLOOKUP(INDIRECT(ADDRESS(2,COLUMN())),OFFSET($BN$2,0,0,ROW()-1,60),ROW()-1,FALSE))</f>
        <v>13188.308999999999</v>
      </c>
      <c r="AT18">
        <f ca="1">IF(AND(ISNUMBER($AT$160),$B$145=1),$AT$160,HLOOKUP(INDIRECT(ADDRESS(2,COLUMN())),OFFSET($BN$2,0,0,ROW()-1,60),ROW()-1,FALSE))</f>
        <v>11588.146000000001</v>
      </c>
      <c r="AU18">
        <f ca="1">IF(AND(ISNUMBER($AU$160),$B$145=1),$AU$160,HLOOKUP(INDIRECT(ADDRESS(2,COLUMN())),OFFSET($BN$2,0,0,ROW()-1,60),ROW()-1,FALSE))</f>
        <v>11418.699000000001</v>
      </c>
      <c r="AV18">
        <f ca="1">IF(AND(ISNUMBER($AV$160),$B$145=1),$AV$160,HLOOKUP(INDIRECT(ADDRESS(2,COLUMN())),OFFSET($BN$2,0,0,ROW()-1,60),ROW()-1,FALSE))</f>
        <v>12083.483</v>
      </c>
      <c r="AW18">
        <f ca="1">IF(AND(ISNUMBER($AW$160),$B$145=1),$AW$160,HLOOKUP(INDIRECT(ADDRESS(2,COLUMN())),OFFSET($BN$2,0,0,ROW()-1,60),ROW()-1,FALSE))</f>
        <v>11160.791999999999</v>
      </c>
      <c r="AX18">
        <f ca="1">IF(AND(ISNUMBER($AX$160),$B$145=1),$AX$160,HLOOKUP(INDIRECT(ADDRESS(2,COLUMN())),OFFSET($BN$2,0,0,ROW()-1,60),ROW()-1,FALSE))</f>
        <v>11686.509</v>
      </c>
      <c r="AY18">
        <f ca="1">IF(AND(ISNUMBER($AY$160),$B$145=1),$AY$160,HLOOKUP(INDIRECT(ADDRESS(2,COLUMN())),OFFSET($BN$2,0,0,ROW()-1,60),ROW()-1,FALSE))</f>
        <v>11498.491</v>
      </c>
      <c r="AZ18">
        <f ca="1">IF(AND(ISNUMBER($AZ$160),$B$145=1),$AZ$160,HLOOKUP(INDIRECT(ADDRESS(2,COLUMN())),OFFSET($BN$2,0,0,ROW()-1,60),ROW()-1,FALSE))</f>
        <v>9550.1710000000003</v>
      </c>
      <c r="BA18">
        <f ca="1">IF(AND(ISNUMBER($BA$160),$B$145=1),$BA$160,HLOOKUP(INDIRECT(ADDRESS(2,COLUMN())),OFFSET($BN$2,0,0,ROW()-1,60),ROW()-1,FALSE))</f>
        <v>9824.6080000000002</v>
      </c>
      <c r="BB18">
        <f ca="1">IF(AND(ISNUMBER($BB$160),$B$145=1),$BB$160,HLOOKUP(INDIRECT(ADDRESS(2,COLUMN())),OFFSET($BN$2,0,0,ROW()-1,60),ROW()-1,FALSE))</f>
        <v>10353.817999999999</v>
      </c>
      <c r="BC18">
        <f ca="1">IF(AND(ISNUMBER($BC$160),$B$145=1),$BC$160,HLOOKUP(INDIRECT(ADDRESS(2,COLUMN())),OFFSET($BN$2,0,0,ROW()-1,60),ROW()-1,FALSE))</f>
        <v>10681.127</v>
      </c>
      <c r="BD18">
        <f ca="1">IF(AND(ISNUMBER($BD$160),$B$145=1),$BD$160,HLOOKUP(INDIRECT(ADDRESS(2,COLUMN())),OFFSET($BN$2,0,0,ROW()-1,60),ROW()-1,FALSE))</f>
        <v>10685.644</v>
      </c>
      <c r="BE18">
        <f ca="1">IF(AND(ISNUMBER($BE$160),$B$145=1),$BE$160,HLOOKUP(INDIRECT(ADDRESS(2,COLUMN())),OFFSET($BN$2,0,0,ROW()-1,60),ROW()-1,FALSE))</f>
        <v>11196.415000000001</v>
      </c>
      <c r="BF18">
        <f ca="1">IF(AND(ISNUMBER($BF$160),$B$145=1),$BF$160,HLOOKUP(INDIRECT(ADDRESS(2,COLUMN())),OFFSET($BN$2,0,0,ROW()-1,60),ROW()-1,FALSE))</f>
        <v>12065.743</v>
      </c>
      <c r="BG18">
        <f ca="1">IF(AND(ISNUMBER($BG$160),$B$145=1),$BG$160,HLOOKUP(INDIRECT(ADDRESS(2,COLUMN())),OFFSET($BN$2,0,0,ROW()-1,60),ROW()-1,FALSE))</f>
        <v>12389.945</v>
      </c>
      <c r="BH18">
        <f ca="1">IF(AND(ISNUMBER($BH$160),$B$145=1),$BH$160,HLOOKUP(INDIRECT(ADDRESS(2,COLUMN())),OFFSET($BN$2,0,0,ROW()-1,60),ROW()-1,FALSE))</f>
        <v>9746.9490000000005</v>
      </c>
      <c r="BI18">
        <f ca="1">IF(AND(ISNUMBER($BI$160),$B$145=1),$BI$160,HLOOKUP(INDIRECT(ADDRESS(2,COLUMN())),OFFSET($BN$2,0,0,ROW()-1,60),ROW()-1,FALSE))</f>
        <v>6465.58</v>
      </c>
      <c r="BJ18">
        <f ca="1">IF(AND(ISNUMBER($BJ$160),$B$145=1),$BJ$160,HLOOKUP(INDIRECT(ADDRESS(2,COLUMN())),OFFSET($BN$2,0,0,ROW()-1,60),ROW()-1,FALSE))</f>
        <v>6951.4610000000002</v>
      </c>
      <c r="BK18">
        <f ca="1">IF(AND(ISNUMBER($BK$160),$B$145=1),$BK$160,HLOOKUP(INDIRECT(ADDRESS(2,COLUMN())),OFFSET($BN$2,0,0,ROW()-1,60),ROW()-1,FALSE))</f>
        <v>7410.8069999999998</v>
      </c>
      <c r="BL18">
        <f ca="1">IF(AND(ISNUMBER($BL$160),$B$145=1),$BL$160,HLOOKUP(INDIRECT(ADDRESS(2,COLUMN())),OFFSET($BN$2,0,0,ROW()-1,60),ROW()-1,FALSE))</f>
        <v>7867.3950000000004</v>
      </c>
      <c r="BM18">
        <f ca="1">IF(AND(ISNUMBER($BM$160),$B$145=1),$BM$160,HLOOKUP(INDIRECT(ADDRESS(2,COLUMN())),OFFSET($BN$2,0,0,ROW()-1,60),ROW()-1,FALSE))</f>
        <v>8064.8990000000003</v>
      </c>
      <c r="BN18" t="str">
        <f>""</f>
        <v/>
      </c>
      <c r="BO18" t="str">
        <f>""</f>
        <v/>
      </c>
      <c r="BP18">
        <f>87461.873</f>
        <v>87461.873000000007</v>
      </c>
      <c r="BQ18">
        <f>88184.75</f>
        <v>88184.75</v>
      </c>
      <c r="BR18">
        <f>90789.845</f>
        <v>90789.845000000001</v>
      </c>
      <c r="BS18">
        <f>91803.187</f>
        <v>91803.187000000005</v>
      </c>
      <c r="BT18">
        <f>93879.448</f>
        <v>93879.448000000004</v>
      </c>
      <c r="BU18">
        <f>95025.203</f>
        <v>95025.202999999994</v>
      </c>
      <c r="BV18">
        <f>95182.766</f>
        <v>95182.766000000003</v>
      </c>
      <c r="BW18">
        <f>90659.996</f>
        <v>90659.995999999999</v>
      </c>
      <c r="BX18">
        <f>79752.633</f>
        <v>79752.633000000002</v>
      </c>
      <c r="BY18">
        <f>20101.071</f>
        <v>20101.071</v>
      </c>
      <c r="BZ18">
        <f>1429.364</f>
        <v>1429.364</v>
      </c>
      <c r="CA18">
        <f>1482.178</f>
        <v>1482.1780000000001</v>
      </c>
      <c r="CB18">
        <f>1488.635</f>
        <v>1488.635</v>
      </c>
      <c r="CC18">
        <f>1459.211</f>
        <v>1459.211</v>
      </c>
      <c r="CD18">
        <f>1444.708</f>
        <v>1444.7080000000001</v>
      </c>
      <c r="CE18">
        <f>1441.593</f>
        <v>1441.5930000000001</v>
      </c>
      <c r="CF18">
        <f>1443.238</f>
        <v>1443.2380000000001</v>
      </c>
      <c r="CG18">
        <f>1470.212</f>
        <v>1470.212</v>
      </c>
      <c r="CH18">
        <f>17660.92</f>
        <v>17660.919999999998</v>
      </c>
      <c r="CI18">
        <f>18826.031</f>
        <v>18826.030999999999</v>
      </c>
      <c r="CJ18">
        <f>18948.211</f>
        <v>18948.210999999999</v>
      </c>
      <c r="CK18">
        <f>18817.686</f>
        <v>18817.686000000002</v>
      </c>
      <c r="CL18">
        <f>19312.403</f>
        <v>19312.402999999998</v>
      </c>
      <c r="CM18">
        <f>19593.226</f>
        <v>19593.225999999999</v>
      </c>
      <c r="CN18">
        <f>19850.014</f>
        <v>19850.013999999999</v>
      </c>
      <c r="CO18">
        <f>18543.986</f>
        <v>18543.986000000001</v>
      </c>
      <c r="CP18">
        <f>18513.631</f>
        <v>18513.631000000001</v>
      </c>
      <c r="CQ18">
        <f>17740.485</f>
        <v>17740.485000000001</v>
      </c>
      <c r="CR18">
        <f>17552.57</f>
        <v>17552.57</v>
      </c>
      <c r="CS18">
        <f>17092.489</f>
        <v>17092.489000000001</v>
      </c>
      <c r="CT18">
        <f>15843.073</f>
        <v>15843.073</v>
      </c>
      <c r="CU18">
        <f>16573.082</f>
        <v>16573.081999999999</v>
      </c>
      <c r="CV18">
        <f>14917.199</f>
        <v>14917.199000000001</v>
      </c>
      <c r="CW18">
        <f>15154.11</f>
        <v>15154.11</v>
      </c>
      <c r="CX18">
        <f>14768.321</f>
        <v>14768.321</v>
      </c>
      <c r="CY18">
        <f>14403.12</f>
        <v>14403.12</v>
      </c>
      <c r="CZ18">
        <f>13682.545</f>
        <v>13682.545</v>
      </c>
      <c r="DA18">
        <f>13188.309</f>
        <v>13188.308999999999</v>
      </c>
      <c r="DB18">
        <f>11588.146</f>
        <v>11588.146000000001</v>
      </c>
      <c r="DC18">
        <f>11418.699</f>
        <v>11418.699000000001</v>
      </c>
      <c r="DD18">
        <f>12083.483</f>
        <v>12083.483</v>
      </c>
      <c r="DE18">
        <f>11160.792</f>
        <v>11160.791999999999</v>
      </c>
      <c r="DF18">
        <f>11686.509</f>
        <v>11686.509</v>
      </c>
      <c r="DG18">
        <f>11498.491</f>
        <v>11498.491</v>
      </c>
      <c r="DH18">
        <f>9550.171</f>
        <v>9550.1710000000003</v>
      </c>
      <c r="DI18">
        <f>9824.608</f>
        <v>9824.6080000000002</v>
      </c>
      <c r="DJ18">
        <f>10353.818</f>
        <v>10353.817999999999</v>
      </c>
      <c r="DK18">
        <f>10681.127</f>
        <v>10681.127</v>
      </c>
      <c r="DL18">
        <f>10685.644</f>
        <v>10685.644</v>
      </c>
      <c r="DM18">
        <f>11196.415</f>
        <v>11196.415000000001</v>
      </c>
      <c r="DN18">
        <f>12065.743</f>
        <v>12065.743</v>
      </c>
      <c r="DO18">
        <f>12389.945</f>
        <v>12389.945</v>
      </c>
      <c r="DP18">
        <f>9746.949</f>
        <v>9746.9490000000005</v>
      </c>
      <c r="DQ18">
        <f>6465.58</f>
        <v>6465.58</v>
      </c>
      <c r="DR18">
        <f>6951.461</f>
        <v>6951.4610000000002</v>
      </c>
      <c r="DS18">
        <f>7410.807</f>
        <v>7410.8069999999998</v>
      </c>
      <c r="DT18">
        <f>7867.395</f>
        <v>7867.3950000000004</v>
      </c>
      <c r="DU18">
        <f>8064.899</f>
        <v>8064.8990000000003</v>
      </c>
    </row>
    <row r="19" spans="1:125" x14ac:dyDescent="0.25">
      <c r="A19" t="str">
        <f>"                Regions Financial Corp"</f>
        <v xml:space="preserve">                Regions Financial Corp</v>
      </c>
      <c r="B19" t="str">
        <f>"RF US Equity"</f>
        <v>RF US Equity</v>
      </c>
      <c r="C19" t="str">
        <f t="shared" si="0"/>
        <v>FC470</v>
      </c>
      <c r="D19" t="str">
        <f t="shared" si="1"/>
        <v>FDIC_SECS_HELD_TO_MTY_BOOK_VAL</v>
      </c>
      <c r="E19" t="str">
        <f t="shared" si="2"/>
        <v>Dynamic</v>
      </c>
      <c r="F19" t="str">
        <f ca="1">IF(AND(ISNUMBER($F$161),$B$145=1),$F$161,HLOOKUP(INDIRECT(ADDRESS(2,COLUMN())),OFFSET($BN$2,0,0,ROW()-1,60),ROW()-1,FALSE))</f>
        <v/>
      </c>
      <c r="G19">
        <f ca="1">IF(AND(ISNUMBER($G$161),$B$145=1),$G$161,HLOOKUP(INDIRECT(ADDRESS(2,COLUMN())),OFFSET($BN$2,0,0,ROW()-1,60),ROW()-1,FALSE))</f>
        <v>2787</v>
      </c>
      <c r="H19">
        <f ca="1">IF(AND(ISNUMBER($H$161),$B$145=1),$H$161,HLOOKUP(INDIRECT(ADDRESS(2,COLUMN())),OFFSET($BN$2,0,0,ROW()-1,60),ROW()-1,FALSE))</f>
        <v>733</v>
      </c>
      <c r="I19">
        <f ca="1">IF(AND(ISNUMBER($I$161),$B$145=1),$I$161,HLOOKUP(INDIRECT(ADDRESS(2,COLUMN())),OFFSET($BN$2,0,0,ROW()-1,60),ROW()-1,FALSE))</f>
        <v>743</v>
      </c>
      <c r="J19">
        <f ca="1">IF(AND(ISNUMBER($J$161),$B$145=1),$J$161,HLOOKUP(INDIRECT(ADDRESS(2,COLUMN())),OFFSET($BN$2,0,0,ROW()-1,60),ROW()-1,FALSE))</f>
        <v>754</v>
      </c>
      <c r="K19">
        <f ca="1">IF(AND(ISNUMBER($K$161),$B$145=1),$K$161,HLOOKUP(INDIRECT(ADDRESS(2,COLUMN())),OFFSET($BN$2,0,0,ROW()-1,60),ROW()-1,FALSE))</f>
        <v>763</v>
      </c>
      <c r="L19">
        <f ca="1">IF(AND(ISNUMBER($L$161),$B$145=1),$L$161,HLOOKUP(INDIRECT(ADDRESS(2,COLUMN())),OFFSET($BN$2,0,0,ROW()-1,60),ROW()-1,FALSE))</f>
        <v>777</v>
      </c>
      <c r="M19">
        <f ca="1">IF(AND(ISNUMBER($M$161),$B$145=1),$M$161,HLOOKUP(INDIRECT(ADDRESS(2,COLUMN())),OFFSET($BN$2,0,0,ROW()-1,60),ROW()-1,FALSE))</f>
        <v>790</v>
      </c>
      <c r="N19">
        <f ca="1">IF(AND(ISNUMBER($N$161),$B$145=1),$N$161,HLOOKUP(INDIRECT(ADDRESS(2,COLUMN())),OFFSET($BN$2,0,0,ROW()-1,60),ROW()-1,FALSE))</f>
        <v>801</v>
      </c>
      <c r="O19">
        <f ca="1">IF(AND(ISNUMBER($O$161),$B$145=1),$O$161,HLOOKUP(INDIRECT(ADDRESS(2,COLUMN())),OFFSET($BN$2,0,0,ROW()-1,60),ROW()-1,FALSE))</f>
        <v>817</v>
      </c>
      <c r="P19">
        <f ca="1">IF(AND(ISNUMBER($P$161),$B$145=1),$P$161,HLOOKUP(INDIRECT(ADDRESS(2,COLUMN())),OFFSET($BN$2,0,0,ROW()-1,60),ROW()-1,FALSE))</f>
        <v>836</v>
      </c>
      <c r="Q19">
        <f ca="1">IF(AND(ISNUMBER($Q$161),$B$145=1),$Q$161,HLOOKUP(INDIRECT(ADDRESS(2,COLUMN())),OFFSET($BN$2,0,0,ROW()-1,60),ROW()-1,FALSE))</f>
        <v>864</v>
      </c>
      <c r="R19">
        <f ca="1">IF(AND(ISNUMBER($R$161),$B$145=1),$R$161,HLOOKUP(INDIRECT(ADDRESS(2,COLUMN())),OFFSET($BN$2,0,0,ROW()-1,60),ROW()-1,FALSE))</f>
        <v>899</v>
      </c>
      <c r="S19">
        <f ca="1">IF(AND(ISNUMBER($S$161),$B$145=1),$S$161,HLOOKUP(INDIRECT(ADDRESS(2,COLUMN())),OFFSET($BN$2,0,0,ROW()-1,60),ROW()-1,FALSE))</f>
        <v>945</v>
      </c>
      <c r="T19">
        <f ca="1">IF(AND(ISNUMBER($T$161),$B$145=1),$T$161,HLOOKUP(INDIRECT(ADDRESS(2,COLUMN())),OFFSET($BN$2,0,0,ROW()-1,60),ROW()-1,FALSE))</f>
        <v>993</v>
      </c>
      <c r="U19">
        <f ca="1">IF(AND(ISNUMBER($U$161),$B$145=1),$U$161,HLOOKUP(INDIRECT(ADDRESS(2,COLUMN())),OFFSET($BN$2,0,0,ROW()-1,60),ROW()-1,FALSE))</f>
        <v>1059</v>
      </c>
      <c r="V19">
        <f ca="1">IF(AND(ISNUMBER($V$161),$B$145=1),$V$161,HLOOKUP(INDIRECT(ADDRESS(2,COLUMN())),OFFSET($BN$2,0,0,ROW()-1,60),ROW()-1,FALSE))</f>
        <v>1122</v>
      </c>
      <c r="W19">
        <f ca="1">IF(AND(ISNUMBER($W$161),$B$145=1),$W$161,HLOOKUP(INDIRECT(ADDRESS(2,COLUMN())),OFFSET($BN$2,0,0,ROW()-1,60),ROW()-1,FALSE))</f>
        <v>1190</v>
      </c>
      <c r="X19">
        <f ca="1">IF(AND(ISNUMBER($X$161),$B$145=1),$X$161,HLOOKUP(INDIRECT(ADDRESS(2,COLUMN())),OFFSET($BN$2,0,0,ROW()-1,60),ROW()-1,FALSE))</f>
        <v>1255</v>
      </c>
      <c r="Y19">
        <f ca="1">IF(AND(ISNUMBER($Y$161),$B$145=1),$Y$161,HLOOKUP(INDIRECT(ADDRESS(2,COLUMN())),OFFSET($BN$2,0,0,ROW()-1,60),ROW()-1,FALSE))</f>
        <v>1296</v>
      </c>
      <c r="Z19">
        <f ca="1">IF(AND(ISNUMBER($Z$161),$B$145=1),$Z$161,HLOOKUP(INDIRECT(ADDRESS(2,COLUMN())),OFFSET($BN$2,0,0,ROW()-1,60),ROW()-1,FALSE))</f>
        <v>1332</v>
      </c>
      <c r="AA19">
        <f ca="1">IF(AND(ISNUMBER($AA$161),$B$145=1),$AA$161,HLOOKUP(INDIRECT(ADDRESS(2,COLUMN())),OFFSET($BN$2,0,0,ROW()-1,60),ROW()-1,FALSE))</f>
        <v>1375</v>
      </c>
      <c r="AB19">
        <f ca="1">IF(AND(ISNUMBER($AB$161),$B$145=1),$AB$161,HLOOKUP(INDIRECT(ADDRESS(2,COLUMN())),OFFSET($BN$2,0,0,ROW()-1,60),ROW()-1,FALSE))</f>
        <v>1415</v>
      </c>
      <c r="AC19">
        <f ca="1">IF(AND(ISNUMBER($AC$161),$B$145=1),$AC$161,HLOOKUP(INDIRECT(ADDRESS(2,COLUMN())),OFFSET($BN$2,0,0,ROW()-1,60),ROW()-1,FALSE))</f>
        <v>1451</v>
      </c>
      <c r="AD19">
        <f ca="1">IF(AND(ISNUMBER($AD$161),$B$145=1),$AD$161,HLOOKUP(INDIRECT(ADDRESS(2,COLUMN())),OFFSET($BN$2,0,0,ROW()-1,60),ROW()-1,FALSE))</f>
        <v>1481.5329999999999</v>
      </c>
      <c r="AE19">
        <f ca="1">IF(AND(ISNUMBER($AE$161),$B$145=1),$AE$161,HLOOKUP(INDIRECT(ADDRESS(2,COLUMN())),OFFSET($BN$2,0,0,ROW()-1,60),ROW()-1,FALSE))</f>
        <v>1523.72</v>
      </c>
      <c r="AF19">
        <f ca="1">IF(AND(ISNUMBER($AF$161),$B$145=1),$AF$161,HLOOKUP(INDIRECT(ADDRESS(2,COLUMN())),OFFSET($BN$2,0,0,ROW()-1,60),ROW()-1,FALSE))</f>
        <v>1567.8530000000001</v>
      </c>
      <c r="AG19">
        <f ca="1">IF(AND(ISNUMBER($AG$161),$B$145=1),$AG$161,HLOOKUP(INDIRECT(ADDRESS(2,COLUMN())),OFFSET($BN$2,0,0,ROW()-1,60),ROW()-1,FALSE))</f>
        <v>1611.241</v>
      </c>
      <c r="AH19">
        <f ca="1">IF(AND(ISNUMBER($AH$161),$B$145=1),$AH$161,HLOOKUP(INDIRECT(ADDRESS(2,COLUMN())),OFFSET($BN$2,0,0,ROW()-1,60),ROW()-1,FALSE))</f>
        <v>1657.961</v>
      </c>
      <c r="AI19">
        <f ca="1">IF(AND(ISNUMBER($AI$161),$B$145=1),$AI$161,HLOOKUP(INDIRECT(ADDRESS(2,COLUMN())),OFFSET($BN$2,0,0,ROW()-1,60),ROW()-1,FALSE))</f>
        <v>1702.751</v>
      </c>
      <c r="AJ19">
        <f ca="1">IF(AND(ISNUMBER($AJ$161),$B$145=1),$AJ$161,HLOOKUP(INDIRECT(ADDRESS(2,COLUMN())),OFFSET($BN$2,0,0,ROW()-1,60),ROW()-1,FALSE))</f>
        <v>1754.278</v>
      </c>
      <c r="AK19">
        <f ca="1">IF(AND(ISNUMBER($AK$161),$B$145=1),$AK$161,HLOOKUP(INDIRECT(ADDRESS(2,COLUMN())),OFFSET($BN$2,0,0,ROW()-1,60),ROW()-1,FALSE))</f>
        <v>1777.5340000000001</v>
      </c>
      <c r="AL19">
        <f ca="1">IF(AND(ISNUMBER($AL$161),$B$145=1),$AL$161,HLOOKUP(INDIRECT(ADDRESS(2,COLUMN())),OFFSET($BN$2,0,0,ROW()-1,60),ROW()-1,FALSE))</f>
        <v>1362.3130000000001</v>
      </c>
      <c r="AM19">
        <f ca="1">IF(AND(ISNUMBER($AM$161),$B$145=1),$AM$161,HLOOKUP(INDIRECT(ADDRESS(2,COLUMN())),OFFSET($BN$2,0,0,ROW()-1,60),ROW()-1,FALSE))</f>
        <v>1431.298</v>
      </c>
      <c r="AN19">
        <f ca="1">IF(AND(ISNUMBER($AN$161),$B$145=1),$AN$161,HLOOKUP(INDIRECT(ADDRESS(2,COLUMN())),OFFSET($BN$2,0,0,ROW()-1,60),ROW()-1,FALSE))</f>
        <v>1646.0160000000001</v>
      </c>
      <c r="AO19">
        <f ca="1">IF(AND(ISNUMBER($AO$161),$B$145=1),$AO$161,HLOOKUP(INDIRECT(ADDRESS(2,COLUMN())),OFFSET($BN$2,0,0,ROW()-1,60),ROW()-1,FALSE))</f>
        <v>1900.5889999999999</v>
      </c>
      <c r="AP19">
        <f ca="1">IF(AND(ISNUMBER($AP$161),$B$145=1),$AP$161,HLOOKUP(INDIRECT(ADDRESS(2,COLUMN())),OFFSET($BN$2,0,0,ROW()-1,60),ROW()-1,FALSE))</f>
        <v>1945.8820000000001</v>
      </c>
      <c r="AQ19">
        <f ca="1">IF(AND(ISNUMBER($AQ$161),$B$145=1),$AQ$161,HLOOKUP(INDIRECT(ADDRESS(2,COLUMN())),OFFSET($BN$2,0,0,ROW()-1,60),ROW()-1,FALSE))</f>
        <v>2000.482</v>
      </c>
      <c r="AR19">
        <f ca="1">IF(AND(ISNUMBER($AR$161),$B$145=1),$AR$161,HLOOKUP(INDIRECT(ADDRESS(2,COLUMN())),OFFSET($BN$2,0,0,ROW()-1,60),ROW()-1,FALSE))</f>
        <v>2066.7809999999999</v>
      </c>
      <c r="AS19">
        <f ca="1">IF(AND(ISNUMBER($AS$161),$B$145=1),$AS$161,HLOOKUP(INDIRECT(ADDRESS(2,COLUMN())),OFFSET($BN$2,0,0,ROW()-1,60),ROW()-1,FALSE))</f>
        <v>2128.855</v>
      </c>
      <c r="AT19">
        <f ca="1">IF(AND(ISNUMBER($AT$161),$B$145=1),$AT$161,HLOOKUP(INDIRECT(ADDRESS(2,COLUMN())),OFFSET($BN$2,0,0,ROW()-1,60),ROW()-1,FALSE))</f>
        <v>2174.5790000000002</v>
      </c>
      <c r="AU19">
        <f ca="1">IF(AND(ISNUMBER($AU$161),$B$145=1),$AU$161,HLOOKUP(INDIRECT(ADDRESS(2,COLUMN())),OFFSET($BN$2,0,0,ROW()-1,60),ROW()-1,FALSE))</f>
        <v>2222.19</v>
      </c>
      <c r="AV19">
        <f ca="1">IF(AND(ISNUMBER($AV$161),$B$145=1),$AV$161,HLOOKUP(INDIRECT(ADDRESS(2,COLUMN())),OFFSET($BN$2,0,0,ROW()-1,60),ROW()-1,FALSE))</f>
        <v>2274.5219999999999</v>
      </c>
      <c r="AW19">
        <f ca="1">IF(AND(ISNUMBER($AW$161),$B$145=1),$AW$161,HLOOKUP(INDIRECT(ADDRESS(2,COLUMN())),OFFSET($BN$2,0,0,ROW()-1,60),ROW()-1,FALSE))</f>
        <v>2317.1210000000001</v>
      </c>
      <c r="AX19">
        <f ca="1">IF(AND(ISNUMBER($AX$161),$B$145=1),$AX$161,HLOOKUP(INDIRECT(ADDRESS(2,COLUMN())),OFFSET($BN$2,0,0,ROW()-1,60),ROW()-1,FALSE))</f>
        <v>2352.9580000000001</v>
      </c>
      <c r="AY19">
        <f ca="1">IF(AND(ISNUMBER($AY$161),$B$145=1),$AY$161,HLOOKUP(INDIRECT(ADDRESS(2,COLUMN())),OFFSET($BN$2,0,0,ROW()-1,60),ROW()-1,FALSE))</f>
        <v>2387.9119999999998</v>
      </c>
      <c r="AZ19">
        <f ca="1">IF(AND(ISNUMBER($AZ$161),$B$145=1),$AZ$161,HLOOKUP(INDIRECT(ADDRESS(2,COLUMN())),OFFSET($BN$2,0,0,ROW()-1,60),ROW()-1,FALSE))</f>
        <v>2425.2719999999999</v>
      </c>
      <c r="BA19">
        <f ca="1">IF(AND(ISNUMBER($BA$161),$B$145=1),$BA$161,HLOOKUP(INDIRECT(ADDRESS(2,COLUMN())),OFFSET($BN$2,0,0,ROW()-1,60),ROW()-1,FALSE))</f>
        <v>8.3719999999999999</v>
      </c>
      <c r="BB19">
        <f ca="1">IF(AND(ISNUMBER($BB$161),$B$145=1),$BB$161,HLOOKUP(INDIRECT(ADDRESS(2,COLUMN())),OFFSET($BN$2,0,0,ROW()-1,60),ROW()-1,FALSE))</f>
        <v>10.333</v>
      </c>
      <c r="BC19">
        <f ca="1">IF(AND(ISNUMBER($BC$161),$B$145=1),$BC$161,HLOOKUP(INDIRECT(ADDRESS(2,COLUMN())),OFFSET($BN$2,0,0,ROW()-1,60),ROW()-1,FALSE))</f>
        <v>11.837999999999999</v>
      </c>
      <c r="BD19">
        <f ca="1">IF(AND(ISNUMBER($BD$161),$B$145=1),$BD$161,HLOOKUP(INDIRECT(ADDRESS(2,COLUMN())),OFFSET($BN$2,0,0,ROW()-1,60),ROW()-1,FALSE))</f>
        <v>13.478999999999999</v>
      </c>
      <c r="BE19">
        <f ca="1">IF(AND(ISNUMBER($BE$161),$B$145=1),$BE$161,HLOOKUP(INDIRECT(ADDRESS(2,COLUMN())),OFFSET($BN$2,0,0,ROW()-1,60),ROW()-1,FALSE))</f>
        <v>15.084</v>
      </c>
      <c r="BF19">
        <f ca="1">IF(AND(ISNUMBER($BF$161),$B$145=1),$BF$161,HLOOKUP(INDIRECT(ADDRESS(2,COLUMN())),OFFSET($BN$2,0,0,ROW()-1,60),ROW()-1,FALSE))</f>
        <v>15.760999999999999</v>
      </c>
      <c r="BG19">
        <f ca="1">IF(AND(ISNUMBER($BG$161),$B$145=1),$BG$161,HLOOKUP(INDIRECT(ADDRESS(2,COLUMN())),OFFSET($BN$2,0,0,ROW()-1,60),ROW()-1,FALSE))</f>
        <v>17.568999999999999</v>
      </c>
      <c r="BH19">
        <f ca="1">IF(AND(ISNUMBER($BH$161),$B$145=1),$BH$161,HLOOKUP(INDIRECT(ADDRESS(2,COLUMN())),OFFSET($BN$2,0,0,ROW()-1,60),ROW()-1,FALSE))</f>
        <v>20.454000000000001</v>
      </c>
      <c r="BI19">
        <f ca="1">IF(AND(ISNUMBER($BI$161),$B$145=1),$BI$161,HLOOKUP(INDIRECT(ADDRESS(2,COLUMN())),OFFSET($BN$2,0,0,ROW()-1,60),ROW()-1,FALSE))</f>
        <v>21.9</v>
      </c>
      <c r="BJ19">
        <f ca="1">IF(AND(ISNUMBER($BJ$161),$B$145=1),$BJ$161,HLOOKUP(INDIRECT(ADDRESS(2,COLUMN())),OFFSET($BN$2,0,0,ROW()-1,60),ROW()-1,FALSE))</f>
        <v>24.448</v>
      </c>
      <c r="BK19">
        <f ca="1">IF(AND(ISNUMBER($BK$161),$B$145=1),$BK$161,HLOOKUP(INDIRECT(ADDRESS(2,COLUMN())),OFFSET($BN$2,0,0,ROW()-1,60),ROW()-1,FALSE))</f>
        <v>26.288</v>
      </c>
      <c r="BL19">
        <f ca="1">IF(AND(ISNUMBER($BL$161),$B$145=1),$BL$161,HLOOKUP(INDIRECT(ADDRESS(2,COLUMN())),OFFSET($BN$2,0,0,ROW()-1,60),ROW()-1,FALSE))</f>
        <v>27.861999999999998</v>
      </c>
      <c r="BM19">
        <f ca="1">IF(AND(ISNUMBER($BM$161),$B$145=1),$BM$161,HLOOKUP(INDIRECT(ADDRESS(2,COLUMN())),OFFSET($BN$2,0,0,ROW()-1,60),ROW()-1,FALSE))</f>
        <v>29.536999999999999</v>
      </c>
      <c r="BN19" t="str">
        <f>""</f>
        <v/>
      </c>
      <c r="BO19">
        <f>2787</f>
        <v>2787</v>
      </c>
      <c r="BP19">
        <f>733</f>
        <v>733</v>
      </c>
      <c r="BQ19">
        <f>743</f>
        <v>743</v>
      </c>
      <c r="BR19">
        <f>754</f>
        <v>754</v>
      </c>
      <c r="BS19">
        <f>763</f>
        <v>763</v>
      </c>
      <c r="BT19">
        <f>777</f>
        <v>777</v>
      </c>
      <c r="BU19">
        <f>790</f>
        <v>790</v>
      </c>
      <c r="BV19">
        <f>801</f>
        <v>801</v>
      </c>
      <c r="BW19">
        <f>817</f>
        <v>817</v>
      </c>
      <c r="BX19">
        <f>836</f>
        <v>836</v>
      </c>
      <c r="BY19">
        <f>864</f>
        <v>864</v>
      </c>
      <c r="BZ19">
        <f>899</f>
        <v>899</v>
      </c>
      <c r="CA19">
        <f>945</f>
        <v>945</v>
      </c>
      <c r="CB19">
        <f>993</f>
        <v>993</v>
      </c>
      <c r="CC19">
        <f>1059</f>
        <v>1059</v>
      </c>
      <c r="CD19">
        <f>1122</f>
        <v>1122</v>
      </c>
      <c r="CE19">
        <f>1190</f>
        <v>1190</v>
      </c>
      <c r="CF19">
        <f>1255</f>
        <v>1255</v>
      </c>
      <c r="CG19">
        <f>1296</f>
        <v>1296</v>
      </c>
      <c r="CH19">
        <f>1332</f>
        <v>1332</v>
      </c>
      <c r="CI19">
        <f>1375</f>
        <v>1375</v>
      </c>
      <c r="CJ19">
        <f>1415</f>
        <v>1415</v>
      </c>
      <c r="CK19">
        <f>1451</f>
        <v>1451</v>
      </c>
      <c r="CL19">
        <f>1481.533</f>
        <v>1481.5329999999999</v>
      </c>
      <c r="CM19">
        <f>1523.72</f>
        <v>1523.72</v>
      </c>
      <c r="CN19">
        <f>1567.853</f>
        <v>1567.8530000000001</v>
      </c>
      <c r="CO19">
        <f>1611.241</f>
        <v>1611.241</v>
      </c>
      <c r="CP19">
        <f>1657.961</f>
        <v>1657.961</v>
      </c>
      <c r="CQ19">
        <f>1702.751</f>
        <v>1702.751</v>
      </c>
      <c r="CR19">
        <f>1754.278</f>
        <v>1754.278</v>
      </c>
      <c r="CS19">
        <f>1777.534</f>
        <v>1777.5340000000001</v>
      </c>
      <c r="CT19">
        <f>1362.313</f>
        <v>1362.3130000000001</v>
      </c>
      <c r="CU19">
        <f>1431.298</f>
        <v>1431.298</v>
      </c>
      <c r="CV19">
        <f>1646.016</f>
        <v>1646.0160000000001</v>
      </c>
      <c r="CW19">
        <f>1900.589</f>
        <v>1900.5889999999999</v>
      </c>
      <c r="CX19">
        <f>1945.882</f>
        <v>1945.8820000000001</v>
      </c>
      <c r="CY19">
        <f>2000.482</f>
        <v>2000.482</v>
      </c>
      <c r="CZ19">
        <f>2066.781</f>
        <v>2066.7809999999999</v>
      </c>
      <c r="DA19">
        <f>2128.855</f>
        <v>2128.855</v>
      </c>
      <c r="DB19">
        <f>2174.579</f>
        <v>2174.5790000000002</v>
      </c>
      <c r="DC19">
        <f>2222.19</f>
        <v>2222.19</v>
      </c>
      <c r="DD19">
        <f>2274.522</f>
        <v>2274.5219999999999</v>
      </c>
      <c r="DE19">
        <f>2317.121</f>
        <v>2317.1210000000001</v>
      </c>
      <c r="DF19">
        <f>2352.958</f>
        <v>2352.9580000000001</v>
      </c>
      <c r="DG19">
        <f>2387.912</f>
        <v>2387.9119999999998</v>
      </c>
      <c r="DH19">
        <f>2425.272</f>
        <v>2425.2719999999999</v>
      </c>
      <c r="DI19">
        <f>8.372</f>
        <v>8.3719999999999999</v>
      </c>
      <c r="DJ19">
        <f>10.333</f>
        <v>10.333</v>
      </c>
      <c r="DK19">
        <f>11.838</f>
        <v>11.837999999999999</v>
      </c>
      <c r="DL19">
        <f>13.479</f>
        <v>13.478999999999999</v>
      </c>
      <c r="DM19">
        <f>15.084</f>
        <v>15.084</v>
      </c>
      <c r="DN19">
        <f>15.761</f>
        <v>15.760999999999999</v>
      </c>
      <c r="DO19">
        <f>17.569</f>
        <v>17.568999999999999</v>
      </c>
      <c r="DP19">
        <f>20.454</f>
        <v>20.454000000000001</v>
      </c>
      <c r="DQ19">
        <f>21.9</f>
        <v>21.9</v>
      </c>
      <c r="DR19">
        <f>24.448</f>
        <v>24.448</v>
      </c>
      <c r="DS19">
        <f>26.288</f>
        <v>26.288</v>
      </c>
      <c r="DT19">
        <f>27.862</f>
        <v>27.861999999999998</v>
      </c>
      <c r="DU19">
        <f>29.537</f>
        <v>29.536999999999999</v>
      </c>
    </row>
    <row r="20" spans="1:125" x14ac:dyDescent="0.25">
      <c r="A20" t="str">
        <f>"                Truist Financial Corp"</f>
        <v xml:space="preserve">                Truist Financial Corp</v>
      </c>
      <c r="B20" t="str">
        <f>"TFC US Equity"</f>
        <v>TFC US Equity</v>
      </c>
      <c r="C20" t="str">
        <f t="shared" si="0"/>
        <v>FC470</v>
      </c>
      <c r="D20" t="str">
        <f t="shared" si="1"/>
        <v>FDIC_SECS_HELD_TO_MTY_BOOK_VAL</v>
      </c>
      <c r="E20" t="str">
        <f t="shared" si="2"/>
        <v>Dynamic</v>
      </c>
      <c r="F20">
        <f ca="1">IF(AND(ISNUMBER($F$162),$B$145=1),$F$162,HLOOKUP(INDIRECT(ADDRESS(2,COLUMN())),OFFSET($BN$2,0,0,ROW()-1,60),ROW()-1,FALSE))</f>
        <v>50640</v>
      </c>
      <c r="G20">
        <f ca="1">IF(AND(ISNUMBER($G$162),$B$145=1),$G$162,HLOOKUP(INDIRECT(ADDRESS(2,COLUMN())),OFFSET($BN$2,0,0,ROW()-1,60),ROW()-1,FALSE))</f>
        <v>51495</v>
      </c>
      <c r="H20">
        <f ca="1">IF(AND(ISNUMBER($H$162),$B$145=1),$H$162,HLOOKUP(INDIRECT(ADDRESS(2,COLUMN())),OFFSET($BN$2,0,0,ROW()-1,60),ROW()-1,FALSE))</f>
        <v>52447</v>
      </c>
      <c r="I20">
        <f ca="1">IF(AND(ISNUMBER($I$162),$B$145=1),$I$162,HLOOKUP(INDIRECT(ADDRESS(2,COLUMN())),OFFSET($BN$2,0,0,ROW()-1,60),ROW()-1,FALSE))</f>
        <v>53369</v>
      </c>
      <c r="J20">
        <f ca="1">IF(AND(ISNUMBER($J$162),$B$145=1),$J$162,HLOOKUP(INDIRECT(ADDRESS(2,COLUMN())),OFFSET($BN$2,0,0,ROW()-1,60),ROW()-1,FALSE))</f>
        <v>54107</v>
      </c>
      <c r="K20">
        <f ca="1">IF(AND(ISNUMBER($K$162),$B$145=1),$K$162,HLOOKUP(INDIRECT(ADDRESS(2,COLUMN())),OFFSET($BN$2,0,0,ROW()-1,60),ROW()-1,FALSE))</f>
        <v>54942</v>
      </c>
      <c r="L20">
        <f ca="1">IF(AND(ISNUMBER($L$162),$B$145=1),$L$162,HLOOKUP(INDIRECT(ADDRESS(2,COLUMN())),OFFSET($BN$2,0,0,ROW()-1,60),ROW()-1,FALSE))</f>
        <v>55958</v>
      </c>
      <c r="M20">
        <f ca="1">IF(AND(ISNUMBER($M$162),$B$145=1),$M$162,HLOOKUP(INDIRECT(ADDRESS(2,COLUMN())),OFFSET($BN$2,0,0,ROW()-1,60),ROW()-1,FALSE))</f>
        <v>56932</v>
      </c>
      <c r="N20">
        <f ca="1">IF(AND(ISNUMBER($N$162),$B$145=1),$N$162,HLOOKUP(INDIRECT(ADDRESS(2,COLUMN())),OFFSET($BN$2,0,0,ROW()-1,60),ROW()-1,FALSE))</f>
        <v>57713</v>
      </c>
      <c r="O20">
        <f ca="1">IF(AND(ISNUMBER($O$162),$B$145=1),$O$162,HLOOKUP(INDIRECT(ADDRESS(2,COLUMN())),OFFSET($BN$2,0,0,ROW()-1,60),ROW()-1,FALSE))</f>
        <v>58754</v>
      </c>
      <c r="P20">
        <f ca="1">IF(AND(ISNUMBER($P$162),$B$145=1),$P$162,HLOOKUP(INDIRECT(ADDRESS(2,COLUMN())),OFFSET($BN$2,0,0,ROW()-1,60),ROW()-1,FALSE))</f>
        <v>60081</v>
      </c>
      <c r="Q20">
        <f ca="1">IF(AND(ISNUMBER($Q$162),$B$145=1),$Q$162,HLOOKUP(INDIRECT(ADDRESS(2,COLUMN())),OFFSET($BN$2,0,0,ROW()-1,60),ROW()-1,FALSE))</f>
        <v>61662</v>
      </c>
      <c r="R20">
        <f ca="1">IF(AND(ISNUMBER($R$162),$B$145=1),$R$162,HLOOKUP(INDIRECT(ADDRESS(2,COLUMN())),OFFSET($BN$2,0,0,ROW()-1,60),ROW()-1,FALSE))</f>
        <v>1494</v>
      </c>
      <c r="S20">
        <f ca="1">IF(AND(ISNUMBER($S$162),$B$145=1),$S$162,HLOOKUP(INDIRECT(ADDRESS(2,COLUMN())),OFFSET($BN$2,0,0,ROW()-1,60),ROW()-1,FALSE))</f>
        <v>0</v>
      </c>
      <c r="T20">
        <f ca="1">IF(AND(ISNUMBER($T$162),$B$145=1),$T$162,HLOOKUP(INDIRECT(ADDRESS(2,COLUMN())),OFFSET($BN$2,0,0,ROW()-1,60),ROW()-1,FALSE))</f>
        <v>0</v>
      </c>
      <c r="U20">
        <f ca="1">IF(AND(ISNUMBER($U$162),$B$145=1),$U$162,HLOOKUP(INDIRECT(ADDRESS(2,COLUMN())),OFFSET($BN$2,0,0,ROW()-1,60),ROW()-1,FALSE))</f>
        <v>0</v>
      </c>
      <c r="V20">
        <f ca="1">IF(AND(ISNUMBER($V$162),$B$145=1),$V$162,HLOOKUP(INDIRECT(ADDRESS(2,COLUMN())),OFFSET($BN$2,0,0,ROW()-1,60),ROW()-1,FALSE))</f>
        <v>0</v>
      </c>
      <c r="W20">
        <f ca="1">IF(AND(ISNUMBER($W$162),$B$145=1),$W$162,HLOOKUP(INDIRECT(ADDRESS(2,COLUMN())),OFFSET($BN$2,0,0,ROW()-1,60),ROW()-1,FALSE))</f>
        <v>0</v>
      </c>
      <c r="X20">
        <f ca="1">IF(AND(ISNUMBER($X$162),$B$145=1),$X$162,HLOOKUP(INDIRECT(ADDRESS(2,COLUMN())),OFFSET($BN$2,0,0,ROW()-1,60),ROW()-1,FALSE))</f>
        <v>0</v>
      </c>
      <c r="Y20">
        <f ca="1">IF(AND(ISNUMBER($Y$162),$B$145=1),$Y$162,HLOOKUP(INDIRECT(ADDRESS(2,COLUMN())),OFFSET($BN$2,0,0,ROW()-1,60),ROW()-1,FALSE))</f>
        <v>0</v>
      </c>
      <c r="Z20">
        <f ca="1">IF(AND(ISNUMBER($Z$162),$B$145=1),$Z$162,HLOOKUP(INDIRECT(ADDRESS(2,COLUMN())),OFFSET($BN$2,0,0,ROW()-1,60),ROW()-1,FALSE))</f>
        <v>0</v>
      </c>
      <c r="AA20">
        <f ca="1">IF(AND(ISNUMBER($AA$162),$B$145=1),$AA$162,HLOOKUP(INDIRECT(ADDRESS(2,COLUMN())),OFFSET($BN$2,0,0,ROW()-1,60),ROW()-1,FALSE))</f>
        <v>18768</v>
      </c>
      <c r="AB20">
        <f ca="1">IF(AND(ISNUMBER($AB$162),$B$145=1),$AB$162,HLOOKUP(INDIRECT(ADDRESS(2,COLUMN())),OFFSET($BN$2,0,0,ROW()-1,60),ROW()-1,FALSE))</f>
        <v>19487</v>
      </c>
      <c r="AC20">
        <f ca="1">IF(AND(ISNUMBER($AC$162),$B$145=1),$AC$162,HLOOKUP(INDIRECT(ADDRESS(2,COLUMN())),OFFSET($BN$2,0,0,ROW()-1,60),ROW()-1,FALSE))</f>
        <v>20095</v>
      </c>
      <c r="AD20">
        <f ca="1">IF(AND(ISNUMBER($AD$162),$B$145=1),$AD$162,HLOOKUP(INDIRECT(ADDRESS(2,COLUMN())),OFFSET($BN$2,0,0,ROW()-1,60),ROW()-1,FALSE))</f>
        <v>20552</v>
      </c>
      <c r="AE20">
        <f ca="1">IF(AND(ISNUMBER($AE$162),$B$145=1),$AE$162,HLOOKUP(INDIRECT(ADDRESS(2,COLUMN())),OFFSET($BN$2,0,0,ROW()-1,60),ROW()-1,FALSE))</f>
        <v>21082</v>
      </c>
      <c r="AF20">
        <f ca="1">IF(AND(ISNUMBER($AF$162),$B$145=1),$AF$162,HLOOKUP(INDIRECT(ADDRESS(2,COLUMN())),OFFSET($BN$2,0,0,ROW()-1,60),ROW()-1,FALSE))</f>
        <v>21749</v>
      </c>
      <c r="AG20">
        <f ca="1">IF(AND(ISNUMBER($AG$162),$B$145=1),$AG$162,HLOOKUP(INDIRECT(ADDRESS(2,COLUMN())),OFFSET($BN$2,0,0,ROW()-1,60),ROW()-1,FALSE))</f>
        <v>22390</v>
      </c>
      <c r="AH20">
        <f ca="1">IF(AND(ISNUMBER($AH$162),$B$145=1),$AH$162,HLOOKUP(INDIRECT(ADDRESS(2,COLUMN())),OFFSET($BN$2,0,0,ROW()-1,60),ROW()-1,FALSE))</f>
        <v>23027</v>
      </c>
      <c r="AI20">
        <f ca="1">IF(AND(ISNUMBER($AI$162),$B$145=1),$AI$162,HLOOKUP(INDIRECT(ADDRESS(2,COLUMN())),OFFSET($BN$2,0,0,ROW()-1,60),ROW()-1,FALSE))</f>
        <v>23447</v>
      </c>
      <c r="AJ20">
        <f ca="1">IF(AND(ISNUMBER($AJ$162),$B$145=1),$AJ$162,HLOOKUP(INDIRECT(ADDRESS(2,COLUMN())),OFFSET($BN$2,0,0,ROW()-1,60),ROW()-1,FALSE))</f>
        <v>18384</v>
      </c>
      <c r="AK20">
        <f ca="1">IF(AND(ISNUMBER($AK$162),$B$145=1),$AK$162,HLOOKUP(INDIRECT(ADDRESS(2,COLUMN())),OFFSET($BN$2,0,0,ROW()-1,60),ROW()-1,FALSE))</f>
        <v>18209.5</v>
      </c>
      <c r="AL20">
        <f ca="1">IF(AND(ISNUMBER($AL$162),$B$145=1),$AL$162,HLOOKUP(INDIRECT(ADDRESS(2,COLUMN())),OFFSET($BN$2,0,0,ROW()-1,60),ROW()-1,FALSE))</f>
        <v>16679.595000000001</v>
      </c>
      <c r="AM20">
        <f ca="1">IF(AND(ISNUMBER($AM$162),$B$145=1),$AM$162,HLOOKUP(INDIRECT(ADDRESS(2,COLUMN())),OFFSET($BN$2,0,0,ROW()-1,60),ROW()-1,FALSE))</f>
        <v>17749.830999999998</v>
      </c>
      <c r="AN20">
        <f ca="1">IF(AND(ISNUMBER($AN$162),$B$145=1),$AN$162,HLOOKUP(INDIRECT(ADDRESS(2,COLUMN())),OFFSET($BN$2,0,0,ROW()-1,60),ROW()-1,FALSE))</f>
        <v>18761.692999999999</v>
      </c>
      <c r="AO20">
        <f ca="1">IF(AND(ISNUMBER($AO$162),$B$145=1),$AO$162,HLOOKUP(INDIRECT(ADDRESS(2,COLUMN())),OFFSET($BN$2,0,0,ROW()-1,60),ROW()-1,FALSE))</f>
        <v>19350.903999999999</v>
      </c>
      <c r="AP20">
        <f ca="1">IF(AND(ISNUMBER($AP$162),$B$145=1),$AP$162,HLOOKUP(INDIRECT(ADDRESS(2,COLUMN())),OFFSET($BN$2,0,0,ROW()-1,60),ROW()-1,FALSE))</f>
        <v>18529.738000000001</v>
      </c>
      <c r="AQ20">
        <f ca="1">IF(AND(ISNUMBER($AQ$162),$B$145=1),$AQ$162,HLOOKUP(INDIRECT(ADDRESS(2,COLUMN())),OFFSET($BN$2,0,0,ROW()-1,60),ROW()-1,FALSE))</f>
        <v>19244.716</v>
      </c>
      <c r="AR20">
        <f ca="1">IF(AND(ISNUMBER($AR$162),$B$145=1),$AR$162,HLOOKUP(INDIRECT(ADDRESS(2,COLUMN())),OFFSET($BN$2,0,0,ROW()-1,60),ROW()-1,FALSE))</f>
        <v>19436.981</v>
      </c>
      <c r="AS20">
        <f ca="1">IF(AND(ISNUMBER($AS$162),$B$145=1),$AS$162,HLOOKUP(INDIRECT(ADDRESS(2,COLUMN())),OFFSET($BN$2,0,0,ROW()-1,60),ROW()-1,FALSE))</f>
        <v>20414.718000000001</v>
      </c>
      <c r="AT20">
        <f ca="1">IF(AND(ISNUMBER($AT$162),$B$145=1),$AT$162,HLOOKUP(INDIRECT(ADDRESS(2,COLUMN())),OFFSET($BN$2,0,0,ROW()-1,60),ROW()-1,FALSE))</f>
        <v>20240.143</v>
      </c>
      <c r="AU20">
        <f ca="1">IF(AND(ISNUMBER($AU$162),$B$145=1),$AU$162,HLOOKUP(INDIRECT(ADDRESS(2,COLUMN())),OFFSET($BN$2,0,0,ROW()-1,60),ROW()-1,FALSE))</f>
        <v>20717.439999999999</v>
      </c>
      <c r="AV20">
        <f ca="1">IF(AND(ISNUMBER($AV$162),$B$145=1),$AV$162,HLOOKUP(INDIRECT(ADDRESS(2,COLUMN())),OFFSET($BN$2,0,0,ROW()-1,60),ROW()-1,FALSE))</f>
        <v>20432.314999999999</v>
      </c>
      <c r="AW20">
        <f ca="1">IF(AND(ISNUMBER($AW$162),$B$145=1),$AW$162,HLOOKUP(INDIRECT(ADDRESS(2,COLUMN())),OFFSET($BN$2,0,0,ROW()-1,60),ROW()-1,FALSE))</f>
        <v>20812.093000000001</v>
      </c>
      <c r="AX20">
        <f ca="1">IF(AND(ISNUMBER($AX$162),$B$145=1),$AX$162,HLOOKUP(INDIRECT(ADDRESS(2,COLUMN())),OFFSET($BN$2,0,0,ROW()-1,60),ROW()-1,FALSE))</f>
        <v>18100.495999999999</v>
      </c>
      <c r="AY20">
        <f ca="1">IF(AND(ISNUMBER($AY$162),$B$145=1),$AY$162,HLOOKUP(INDIRECT(ADDRESS(2,COLUMN())),OFFSET($BN$2,0,0,ROW()-1,60),ROW()-1,FALSE))</f>
        <v>13529.209000000001</v>
      </c>
      <c r="AZ20">
        <f ca="1">IF(AND(ISNUMBER($AZ$162),$B$145=1),$AZ$162,HLOOKUP(INDIRECT(ADDRESS(2,COLUMN())),OFFSET($BN$2,0,0,ROW()-1,60),ROW()-1,FALSE))</f>
        <v>13750.557000000001</v>
      </c>
      <c r="BA20">
        <f ca="1">IF(AND(ISNUMBER($BA$162),$B$145=1),$BA$162,HLOOKUP(INDIRECT(ADDRESS(2,COLUMN())),OFFSET($BN$2,0,0,ROW()-1,60),ROW()-1,FALSE))</f>
        <v>13118.647999999999</v>
      </c>
      <c r="BB20">
        <f ca="1">IF(AND(ISNUMBER($BB$162),$B$145=1),$BB$162,HLOOKUP(INDIRECT(ADDRESS(2,COLUMN())),OFFSET($BN$2,0,0,ROW()-1,60),ROW()-1,FALSE))</f>
        <v>13594.239</v>
      </c>
      <c r="BC20">
        <f ca="1">IF(AND(ISNUMBER($BC$162),$B$145=1),$BC$162,HLOOKUP(INDIRECT(ADDRESS(2,COLUMN())),OFFSET($BN$2,0,0,ROW()-1,60),ROW()-1,FALSE))</f>
        <v>13139.575000000001</v>
      </c>
      <c r="BD20">
        <f ca="1">IF(AND(ISNUMBER($BD$162),$B$145=1),$BD$162,HLOOKUP(INDIRECT(ADDRESS(2,COLUMN())),OFFSET($BN$2,0,0,ROW()-1,60),ROW()-1,FALSE))</f>
        <v>12576.239</v>
      </c>
      <c r="BE20">
        <f ca="1">IF(AND(ISNUMBER($BE$162),$B$145=1),$BE$162,HLOOKUP(INDIRECT(ADDRESS(2,COLUMN())),OFFSET($BN$2,0,0,ROW()-1,60),ROW()-1,FALSE))</f>
        <v>13484.81</v>
      </c>
      <c r="BF20">
        <f ca="1">IF(AND(ISNUMBER($BF$162),$B$145=1),$BF$162,HLOOKUP(INDIRECT(ADDRESS(2,COLUMN())),OFFSET($BN$2,0,0,ROW()-1,60),ROW()-1,FALSE))</f>
        <v>14093.571</v>
      </c>
      <c r="BG20">
        <f ca="1">IF(AND(ISNUMBER($BG$162),$B$145=1),$BG$162,HLOOKUP(INDIRECT(ADDRESS(2,COLUMN())),OFFSET($BN$2,0,0,ROW()-1,60),ROW()-1,FALSE))</f>
        <v>8135.4520000000002</v>
      </c>
      <c r="BH20">
        <f ca="1">IF(AND(ISNUMBER($BH$162),$B$145=1),$BH$162,HLOOKUP(INDIRECT(ADDRESS(2,COLUMN())),OFFSET($BN$2,0,0,ROW()-1,60),ROW()-1,FALSE))</f>
        <v>8552.8230000000003</v>
      </c>
      <c r="BI20">
        <f ca="1">IF(AND(ISNUMBER($BI$162),$B$145=1),$BI$162,HLOOKUP(INDIRECT(ADDRESS(2,COLUMN())),OFFSET($BN$2,0,0,ROW()-1,60),ROW()-1,FALSE))</f>
        <v>8332.5640000000003</v>
      </c>
      <c r="BJ20">
        <f ca="1">IF(AND(ISNUMBER($BJ$162),$B$145=1),$BJ$162,HLOOKUP(INDIRECT(ADDRESS(2,COLUMN())),OFFSET($BN$2,0,0,ROW()-1,60),ROW()-1,FALSE))</f>
        <v>0</v>
      </c>
      <c r="BK20">
        <f ca="1">IF(AND(ISNUMBER($BK$162),$B$145=1),$BK$162,HLOOKUP(INDIRECT(ADDRESS(2,COLUMN())),OFFSET($BN$2,0,0,ROW()-1,60),ROW()-1,FALSE))</f>
        <v>0</v>
      </c>
      <c r="BL20">
        <f ca="1">IF(AND(ISNUMBER($BL$162),$B$145=1),$BL$162,HLOOKUP(INDIRECT(ADDRESS(2,COLUMN())),OFFSET($BN$2,0,0,ROW()-1,60),ROW()-1,FALSE))</f>
        <v>0</v>
      </c>
      <c r="BM20" t="str">
        <f ca="1">IF(AND(ISNUMBER($BM$162),$B$145=1),$BM$162,HLOOKUP(INDIRECT(ADDRESS(2,COLUMN())),OFFSET($BN$2,0,0,ROW()-1,60),ROW()-1,FALSE))</f>
        <v/>
      </c>
      <c r="BN20">
        <f>50640</f>
        <v>50640</v>
      </c>
      <c r="BO20">
        <f>51495</f>
        <v>51495</v>
      </c>
      <c r="BP20">
        <f>52447</f>
        <v>52447</v>
      </c>
      <c r="BQ20">
        <f>53369</f>
        <v>53369</v>
      </c>
      <c r="BR20">
        <f>54107</f>
        <v>54107</v>
      </c>
      <c r="BS20">
        <f>54942</f>
        <v>54942</v>
      </c>
      <c r="BT20">
        <f>55958</f>
        <v>55958</v>
      </c>
      <c r="BU20">
        <f>56932</f>
        <v>56932</v>
      </c>
      <c r="BV20">
        <f>57713</f>
        <v>57713</v>
      </c>
      <c r="BW20">
        <f>58754</f>
        <v>58754</v>
      </c>
      <c r="BX20">
        <f>60081</f>
        <v>60081</v>
      </c>
      <c r="BY20">
        <f>61662</f>
        <v>61662</v>
      </c>
      <c r="BZ20">
        <f>1494</f>
        <v>1494</v>
      </c>
      <c r="CA20">
        <f>0</f>
        <v>0</v>
      </c>
      <c r="CB20">
        <f>0</f>
        <v>0</v>
      </c>
      <c r="CC20">
        <f>0</f>
        <v>0</v>
      </c>
      <c r="CD20">
        <f>0</f>
        <v>0</v>
      </c>
      <c r="CE20">
        <f>0</f>
        <v>0</v>
      </c>
      <c r="CF20">
        <f>0</f>
        <v>0</v>
      </c>
      <c r="CG20">
        <f>0</f>
        <v>0</v>
      </c>
      <c r="CH20">
        <f>0</f>
        <v>0</v>
      </c>
      <c r="CI20">
        <f>18768</f>
        <v>18768</v>
      </c>
      <c r="CJ20">
        <f>19487</f>
        <v>19487</v>
      </c>
      <c r="CK20">
        <f>20095</f>
        <v>20095</v>
      </c>
      <c r="CL20">
        <f>20552</f>
        <v>20552</v>
      </c>
      <c r="CM20">
        <f>21082</f>
        <v>21082</v>
      </c>
      <c r="CN20">
        <f>21749</f>
        <v>21749</v>
      </c>
      <c r="CO20">
        <f>22390</f>
        <v>22390</v>
      </c>
      <c r="CP20">
        <f>23027</f>
        <v>23027</v>
      </c>
      <c r="CQ20">
        <f>23447</f>
        <v>23447</v>
      </c>
      <c r="CR20">
        <f>18384</f>
        <v>18384</v>
      </c>
      <c r="CS20">
        <f>18209.5</f>
        <v>18209.5</v>
      </c>
      <c r="CT20">
        <f>16679.595</f>
        <v>16679.595000000001</v>
      </c>
      <c r="CU20">
        <f>17749.831</f>
        <v>17749.830999999998</v>
      </c>
      <c r="CV20">
        <f>18761.693</f>
        <v>18761.692999999999</v>
      </c>
      <c r="CW20">
        <f>19350.904</f>
        <v>19350.903999999999</v>
      </c>
      <c r="CX20">
        <f>18529.738</f>
        <v>18529.738000000001</v>
      </c>
      <c r="CY20">
        <f>19244.716</f>
        <v>19244.716</v>
      </c>
      <c r="CZ20">
        <f>19436.981</f>
        <v>19436.981</v>
      </c>
      <c r="DA20">
        <f>20414.718</f>
        <v>20414.718000000001</v>
      </c>
      <c r="DB20">
        <f>20240.143</f>
        <v>20240.143</v>
      </c>
      <c r="DC20">
        <f>20717.44</f>
        <v>20717.439999999999</v>
      </c>
      <c r="DD20">
        <f>20432.315</f>
        <v>20432.314999999999</v>
      </c>
      <c r="DE20">
        <f>20812.093</f>
        <v>20812.093000000001</v>
      </c>
      <c r="DF20">
        <f>18100.496</f>
        <v>18100.495999999999</v>
      </c>
      <c r="DG20">
        <f>13529.209</f>
        <v>13529.209000000001</v>
      </c>
      <c r="DH20">
        <f>13750.557</f>
        <v>13750.557000000001</v>
      </c>
      <c r="DI20">
        <f>13118.648</f>
        <v>13118.647999999999</v>
      </c>
      <c r="DJ20">
        <f>13594.239</f>
        <v>13594.239</v>
      </c>
      <c r="DK20">
        <f>13139.575</f>
        <v>13139.575000000001</v>
      </c>
      <c r="DL20">
        <f>12576.239</f>
        <v>12576.239</v>
      </c>
      <c r="DM20">
        <f>13484.81</f>
        <v>13484.81</v>
      </c>
      <c r="DN20">
        <f>14093.571</f>
        <v>14093.571</v>
      </c>
      <c r="DO20">
        <f>8135.452</f>
        <v>8135.4520000000002</v>
      </c>
      <c r="DP20">
        <f>8552.823</f>
        <v>8552.8230000000003</v>
      </c>
      <c r="DQ20">
        <f>8332.564</f>
        <v>8332.5640000000003</v>
      </c>
      <c r="DR20">
        <f>0</f>
        <v>0</v>
      </c>
      <c r="DS20">
        <f>0</f>
        <v>0</v>
      </c>
      <c r="DT20">
        <f>0</f>
        <v>0</v>
      </c>
      <c r="DU20" t="str">
        <f>""</f>
        <v/>
      </c>
    </row>
    <row r="21" spans="1:125" x14ac:dyDescent="0.25">
      <c r="A21" t="str">
        <f>"                US Bancorp"</f>
        <v xml:space="preserve">                US Bancorp</v>
      </c>
      <c r="B21" t="str">
        <f>"USB US Equity"</f>
        <v>USB US Equity</v>
      </c>
      <c r="C21" t="str">
        <f t="shared" si="0"/>
        <v>FC470</v>
      </c>
      <c r="D21" t="str">
        <f t="shared" si="1"/>
        <v>FDIC_SECS_HELD_TO_MTY_BOOK_VAL</v>
      </c>
      <c r="E21" t="str">
        <f t="shared" si="2"/>
        <v>Dynamic</v>
      </c>
      <c r="F21">
        <f ca="1">IF(AND(ISNUMBER($F$163),$B$145=1),$F$163,HLOOKUP(INDIRECT(ADDRESS(2,COLUMN())),OFFSET($BN$2,0,0,ROW()-1,60),ROW()-1,FALSE))</f>
        <v>78634</v>
      </c>
      <c r="G21">
        <f ca="1">IF(AND(ISNUMBER($G$163),$B$145=1),$G$163,HLOOKUP(INDIRECT(ADDRESS(2,COLUMN())),OFFSET($BN$2,0,0,ROW()-1,60),ROW()-1,FALSE))</f>
        <v>80025</v>
      </c>
      <c r="H21">
        <f ca="1">IF(AND(ISNUMBER($H$163),$B$145=1),$H$163,HLOOKUP(INDIRECT(ADDRESS(2,COLUMN())),OFFSET($BN$2,0,0,ROW()-1,60),ROW()-1,FALSE))</f>
        <v>81486</v>
      </c>
      <c r="I21">
        <f ca="1">IF(AND(ISNUMBER($I$163),$B$145=1),$I$163,HLOOKUP(INDIRECT(ADDRESS(2,COLUMN())),OFFSET($BN$2,0,0,ROW()-1,60),ROW()-1,FALSE))</f>
        <v>82948</v>
      </c>
      <c r="J21">
        <f ca="1">IF(AND(ISNUMBER($J$163),$B$145=1),$J$163,HLOOKUP(INDIRECT(ADDRESS(2,COLUMN())),OFFSET($BN$2,0,0,ROW()-1,60),ROW()-1,FALSE))</f>
        <v>84045</v>
      </c>
      <c r="K21">
        <f ca="1">IF(AND(ISNUMBER($K$163),$B$145=1),$K$163,HLOOKUP(INDIRECT(ADDRESS(2,COLUMN())),OFFSET($BN$2,0,0,ROW()-1,60),ROW()-1,FALSE))</f>
        <v>85342</v>
      </c>
      <c r="L21">
        <f ca="1">IF(AND(ISNUMBER($L$163),$B$145=1),$L$163,HLOOKUP(INDIRECT(ADDRESS(2,COLUMN())),OFFSET($BN$2,0,0,ROW()-1,60),ROW()-1,FALSE))</f>
        <v>86938</v>
      </c>
      <c r="M21">
        <f ca="1">IF(AND(ISNUMBER($M$163),$B$145=1),$M$163,HLOOKUP(INDIRECT(ADDRESS(2,COLUMN())),OFFSET($BN$2,0,0,ROW()-1,60),ROW()-1,FALSE))</f>
        <v>88462</v>
      </c>
      <c r="N21">
        <f ca="1">IF(AND(ISNUMBER($N$163),$B$145=1),$N$163,HLOOKUP(INDIRECT(ADDRESS(2,COLUMN())),OFFSET($BN$2,0,0,ROW()-1,60),ROW()-1,FALSE))</f>
        <v>88740</v>
      </c>
      <c r="O21">
        <f ca="1">IF(AND(ISNUMBER($O$163),$B$145=1),$O$163,HLOOKUP(INDIRECT(ADDRESS(2,COLUMN())),OFFSET($BN$2,0,0,ROW()-1,60),ROW()-1,FALSE))</f>
        <v>85574</v>
      </c>
      <c r="P21">
        <f ca="1">IF(AND(ISNUMBER($P$163),$B$145=1),$P$163,HLOOKUP(INDIRECT(ADDRESS(2,COLUMN())),OFFSET($BN$2,0,0,ROW()-1,60),ROW()-1,FALSE))</f>
        <v>61503</v>
      </c>
      <c r="Q21">
        <f ca="1">IF(AND(ISNUMBER($Q$163),$B$145=1),$Q$163,HLOOKUP(INDIRECT(ADDRESS(2,COLUMN())),OFFSET($BN$2,0,0,ROW()-1,60),ROW()-1,FALSE))</f>
        <v>43654</v>
      </c>
      <c r="R21">
        <f ca="1">IF(AND(ISNUMBER($R$163),$B$145=1),$R$163,HLOOKUP(INDIRECT(ADDRESS(2,COLUMN())),OFFSET($BN$2,0,0,ROW()-1,60),ROW()-1,FALSE))</f>
        <v>41858</v>
      </c>
      <c r="S21">
        <f ca="1">IF(AND(ISNUMBER($S$163),$B$145=1),$S$163,HLOOKUP(INDIRECT(ADDRESS(2,COLUMN())),OFFSET($BN$2,0,0,ROW()-1,60),ROW()-1,FALSE))</f>
        <v>0</v>
      </c>
      <c r="T21">
        <f ca="1">IF(AND(ISNUMBER($T$163),$B$145=1),$T$163,HLOOKUP(INDIRECT(ADDRESS(2,COLUMN())),OFFSET($BN$2,0,0,ROW()-1,60),ROW()-1,FALSE))</f>
        <v>0</v>
      </c>
      <c r="U21">
        <f ca="1">IF(AND(ISNUMBER($U$163),$B$145=1),$U$163,HLOOKUP(INDIRECT(ADDRESS(2,COLUMN())),OFFSET($BN$2,0,0,ROW()-1,60),ROW()-1,FALSE))</f>
        <v>0</v>
      </c>
      <c r="V21">
        <f ca="1">IF(AND(ISNUMBER($V$163),$B$145=1),$V$163,HLOOKUP(INDIRECT(ADDRESS(2,COLUMN())),OFFSET($BN$2,0,0,ROW()-1,60),ROW()-1,FALSE))</f>
        <v>0</v>
      </c>
      <c r="W21">
        <f ca="1">IF(AND(ISNUMBER($W$163),$B$145=1),$W$163,HLOOKUP(INDIRECT(ADDRESS(2,COLUMN())),OFFSET($BN$2,0,0,ROW()-1,60),ROW()-1,FALSE))</f>
        <v>0</v>
      </c>
      <c r="X21">
        <f ca="1">IF(AND(ISNUMBER($X$163),$B$145=1),$X$163,HLOOKUP(INDIRECT(ADDRESS(2,COLUMN())),OFFSET($BN$2,0,0,ROW()-1,60),ROW()-1,FALSE))</f>
        <v>0</v>
      </c>
      <c r="Y21">
        <f ca="1">IF(AND(ISNUMBER($Y$163),$B$145=1),$Y$163,HLOOKUP(INDIRECT(ADDRESS(2,COLUMN())),OFFSET($BN$2,0,0,ROW()-1,60),ROW()-1,FALSE))</f>
        <v>0</v>
      </c>
      <c r="Z21">
        <f ca="1">IF(AND(ISNUMBER($Z$163),$B$145=1),$Z$163,HLOOKUP(INDIRECT(ADDRESS(2,COLUMN())),OFFSET($BN$2,0,0,ROW()-1,60),ROW()-1,FALSE))</f>
        <v>0</v>
      </c>
      <c r="AA21">
        <f ca="1">IF(AND(ISNUMBER($AA$163),$B$145=1),$AA$163,HLOOKUP(INDIRECT(ADDRESS(2,COLUMN())),OFFSET($BN$2,0,0,ROW()-1,60),ROW()-1,FALSE))</f>
        <v>46481</v>
      </c>
      <c r="AB21">
        <f ca="1">IF(AND(ISNUMBER($AB$163),$B$145=1),$AB$163,HLOOKUP(INDIRECT(ADDRESS(2,COLUMN())),OFFSET($BN$2,0,0,ROW()-1,60),ROW()-1,FALSE))</f>
        <v>46383</v>
      </c>
      <c r="AC21">
        <f ca="1">IF(AND(ISNUMBER($AC$163),$B$145=1),$AC$163,HLOOKUP(INDIRECT(ADDRESS(2,COLUMN())),OFFSET($BN$2,0,0,ROW()-1,60),ROW()-1,FALSE))</f>
        <v>46285</v>
      </c>
      <c r="AD21">
        <f ca="1">IF(AND(ISNUMBER($AD$163),$B$145=1),$AD$163,HLOOKUP(INDIRECT(ADDRESS(2,COLUMN())),OFFSET($BN$2,0,0,ROW()-1,60),ROW()-1,FALSE))</f>
        <v>46050</v>
      </c>
      <c r="AE21">
        <f ca="1">IF(AND(ISNUMBER($AE$163),$B$145=1),$AE$163,HLOOKUP(INDIRECT(ADDRESS(2,COLUMN())),OFFSET($BN$2,0,0,ROW()-1,60),ROW()-1,FALSE))</f>
        <v>46046</v>
      </c>
      <c r="AF21">
        <f ca="1">IF(AND(ISNUMBER($AF$163),$B$145=1),$AF$163,HLOOKUP(INDIRECT(ADDRESS(2,COLUMN())),OFFSET($BN$2,0,0,ROW()-1,60),ROW()-1,FALSE))</f>
        <v>46055</v>
      </c>
      <c r="AG21">
        <f ca="1">IF(AND(ISNUMBER($AG$163),$B$145=1),$AG$163,HLOOKUP(INDIRECT(ADDRESS(2,COLUMN())),OFFSET($BN$2,0,0,ROW()-1,60),ROW()-1,FALSE))</f>
        <v>44612</v>
      </c>
      <c r="AH21">
        <f ca="1">IF(AND(ISNUMBER($AH$163),$B$145=1),$AH$163,HLOOKUP(INDIRECT(ADDRESS(2,COLUMN())),OFFSET($BN$2,0,0,ROW()-1,60),ROW()-1,FALSE))</f>
        <v>44362</v>
      </c>
      <c r="AI21">
        <f ca="1">IF(AND(ISNUMBER($AI$163),$B$145=1),$AI$163,HLOOKUP(INDIRECT(ADDRESS(2,COLUMN())),OFFSET($BN$2,0,0,ROW()-1,60),ROW()-1,FALSE))</f>
        <v>44018</v>
      </c>
      <c r="AJ21">
        <f ca="1">IF(AND(ISNUMBER($AJ$163),$B$145=1),$AJ$163,HLOOKUP(INDIRECT(ADDRESS(2,COLUMN())),OFFSET($BN$2,0,0,ROW()-1,60),ROW()-1,FALSE))</f>
        <v>43659</v>
      </c>
      <c r="AK21">
        <f ca="1">IF(AND(ISNUMBER($AK$163),$B$145=1),$AK$163,HLOOKUP(INDIRECT(ADDRESS(2,COLUMN())),OFFSET($BN$2,0,0,ROW()-1,60),ROW()-1,FALSE))</f>
        <v>43393</v>
      </c>
      <c r="AL21">
        <f ca="1">IF(AND(ISNUMBER($AL$163),$B$145=1),$AL$163,HLOOKUP(INDIRECT(ADDRESS(2,COLUMN())),OFFSET($BN$2,0,0,ROW()-1,60),ROW()-1,FALSE))</f>
        <v>42991</v>
      </c>
      <c r="AM21">
        <f ca="1">IF(AND(ISNUMBER($AM$163),$B$145=1),$AM$163,HLOOKUP(INDIRECT(ADDRESS(2,COLUMN())),OFFSET($BN$2,0,0,ROW()-1,60),ROW()-1,FALSE))</f>
        <v>42873</v>
      </c>
      <c r="AN21">
        <f ca="1">IF(AND(ISNUMBER($AN$163),$B$145=1),$AN$163,HLOOKUP(INDIRECT(ADDRESS(2,COLUMN())),OFFSET($BN$2,0,0,ROW()-1,60),ROW()-1,FALSE))</f>
        <v>42030</v>
      </c>
      <c r="AO21">
        <f ca="1">IF(AND(ISNUMBER($AO$163),$B$145=1),$AO$163,HLOOKUP(INDIRECT(ADDRESS(2,COLUMN())),OFFSET($BN$2,0,0,ROW()-1,60),ROW()-1,FALSE))</f>
        <v>42113</v>
      </c>
      <c r="AP21">
        <f ca="1">IF(AND(ISNUMBER($AP$163),$B$145=1),$AP$163,HLOOKUP(INDIRECT(ADDRESS(2,COLUMN())),OFFSET($BN$2,0,0,ROW()-1,60),ROW()-1,FALSE))</f>
        <v>43590</v>
      </c>
      <c r="AQ21">
        <f ca="1">IF(AND(ISNUMBER($AQ$163),$B$145=1),$AQ$163,HLOOKUP(INDIRECT(ADDRESS(2,COLUMN())),OFFSET($BN$2,0,0,ROW()-1,60),ROW()-1,FALSE))</f>
        <v>44690</v>
      </c>
      <c r="AR21">
        <f ca="1">IF(AND(ISNUMBER($AR$163),$B$145=1),$AR$163,HLOOKUP(INDIRECT(ADDRESS(2,COLUMN())),OFFSET($BN$2,0,0,ROW()-1,60),ROW()-1,FALSE))</f>
        <v>46233</v>
      </c>
      <c r="AS21">
        <f ca="1">IF(AND(ISNUMBER($AS$163),$B$145=1),$AS$163,HLOOKUP(INDIRECT(ADDRESS(2,COLUMN())),OFFSET($BN$2,0,0,ROW()-1,60),ROW()-1,FALSE))</f>
        <v>45597</v>
      </c>
      <c r="AT21">
        <f ca="1">IF(AND(ISNUMBER($AT$163),$B$145=1),$AT$163,HLOOKUP(INDIRECT(ADDRESS(2,COLUMN())),OFFSET($BN$2,0,0,ROW()-1,60),ROW()-1,FALSE))</f>
        <v>44974</v>
      </c>
      <c r="AU21">
        <f ca="1">IF(AND(ISNUMBER($AU$163),$B$145=1),$AU$163,HLOOKUP(INDIRECT(ADDRESS(2,COLUMN())),OFFSET($BN$2,0,0,ROW()-1,60),ROW()-1,FALSE))</f>
        <v>44231</v>
      </c>
      <c r="AV21">
        <f ca="1">IF(AND(ISNUMBER($AV$163),$B$145=1),$AV$163,HLOOKUP(INDIRECT(ADDRESS(2,COLUMN())),OFFSET($BN$2,0,0,ROW()-1,60),ROW()-1,FALSE))</f>
        <v>41995</v>
      </c>
      <c r="AW21">
        <f ca="1">IF(AND(ISNUMBER($AW$163),$B$145=1),$AW$163,HLOOKUP(INDIRECT(ADDRESS(2,COLUMN())),OFFSET($BN$2,0,0,ROW()-1,60),ROW()-1,FALSE))</f>
        <v>40712</v>
      </c>
      <c r="AX21">
        <f ca="1">IF(AND(ISNUMBER($AX$163),$B$145=1),$AX$163,HLOOKUP(INDIRECT(ADDRESS(2,COLUMN())),OFFSET($BN$2,0,0,ROW()-1,60),ROW()-1,FALSE))</f>
        <v>38920</v>
      </c>
      <c r="AY21">
        <f ca="1">IF(AND(ISNUMBER($AY$163),$B$145=1),$AY$163,HLOOKUP(INDIRECT(ADDRESS(2,COLUMN())),OFFSET($BN$2,0,0,ROW()-1,60),ROW()-1,FALSE))</f>
        <v>36904</v>
      </c>
      <c r="AZ21">
        <f ca="1">IF(AND(ISNUMBER($AZ$163),$B$145=1),$AZ$163,HLOOKUP(INDIRECT(ADDRESS(2,COLUMN())),OFFSET($BN$2,0,0,ROW()-1,60),ROW()-1,FALSE))</f>
        <v>34668</v>
      </c>
      <c r="BA21">
        <f ca="1">IF(AND(ISNUMBER($BA$163),$B$145=1),$BA$163,HLOOKUP(INDIRECT(ADDRESS(2,COLUMN())),OFFSET($BN$2,0,0,ROW()-1,60),ROW()-1,FALSE))</f>
        <v>34716</v>
      </c>
      <c r="BB21">
        <f ca="1">IF(AND(ISNUMBER($BB$163),$B$145=1),$BB$163,HLOOKUP(INDIRECT(ADDRESS(2,COLUMN())),OFFSET($BN$2,0,0,ROW()-1,60),ROW()-1,FALSE))</f>
        <v>34389</v>
      </c>
      <c r="BC21">
        <f ca="1">IF(AND(ISNUMBER($BC$163),$B$145=1),$BC$163,HLOOKUP(INDIRECT(ADDRESS(2,COLUMN())),OFFSET($BN$2,0,0,ROW()-1,60),ROW()-1,FALSE))</f>
        <v>34509</v>
      </c>
      <c r="BD21">
        <f ca="1">IF(AND(ISNUMBER($BD$163),$B$145=1),$BD$163,HLOOKUP(INDIRECT(ADDRESS(2,COLUMN())),OFFSET($BN$2,0,0,ROW()-1,60),ROW()-1,FALSE))</f>
        <v>34635</v>
      </c>
      <c r="BE21">
        <f ca="1">IF(AND(ISNUMBER($BE$163),$B$145=1),$BE$163,HLOOKUP(INDIRECT(ADDRESS(2,COLUMN())),OFFSET($BN$2,0,0,ROW()-1,60),ROW()-1,FALSE))</f>
        <v>21505</v>
      </c>
      <c r="BF21">
        <f ca="1">IF(AND(ISNUMBER($BF$163),$B$145=1),$BF$163,HLOOKUP(INDIRECT(ADDRESS(2,COLUMN())),OFFSET($BN$2,0,0,ROW()-1,60),ROW()-1,FALSE))</f>
        <v>18877</v>
      </c>
      <c r="BG21">
        <f ca="1">IF(AND(ISNUMBER($BG$163),$B$145=1),$BG$163,HLOOKUP(INDIRECT(ADDRESS(2,COLUMN())),OFFSET($BN$2,0,0,ROW()-1,60),ROW()-1,FALSE))</f>
        <v>16269</v>
      </c>
      <c r="BH21">
        <f ca="1">IF(AND(ISNUMBER($BH$163),$B$145=1),$BH$163,HLOOKUP(INDIRECT(ADDRESS(2,COLUMN())),OFFSET($BN$2,0,0,ROW()-1,60),ROW()-1,FALSE))</f>
        <v>13280</v>
      </c>
      <c r="BI21">
        <f ca="1">IF(AND(ISNUMBER($BI$163),$B$145=1),$BI$163,HLOOKUP(INDIRECT(ADDRESS(2,COLUMN())),OFFSET($BN$2,0,0,ROW()-1,60),ROW()-1,FALSE))</f>
        <v>8213</v>
      </c>
      <c r="BJ21">
        <f ca="1">IF(AND(ISNUMBER($BJ$163),$B$145=1),$BJ$163,HLOOKUP(INDIRECT(ADDRESS(2,COLUMN())),OFFSET($BN$2,0,0,ROW()-1,60),ROW()-1,FALSE))</f>
        <v>1469</v>
      </c>
      <c r="BK21">
        <f ca="1">IF(AND(ISNUMBER($BK$163),$B$145=1),$BK$163,HLOOKUP(INDIRECT(ADDRESS(2,COLUMN())),OFFSET($BN$2,0,0,ROW()-1,60),ROW()-1,FALSE))</f>
        <v>557</v>
      </c>
      <c r="BL21">
        <f ca="1">IF(AND(ISNUMBER($BL$163),$B$145=1),$BL$163,HLOOKUP(INDIRECT(ADDRESS(2,COLUMN())),OFFSET($BN$2,0,0,ROW()-1,60),ROW()-1,FALSE))</f>
        <v>590</v>
      </c>
      <c r="BM21" t="str">
        <f ca="1">IF(AND(ISNUMBER($BM$163),$B$145=1),$BM$163,HLOOKUP(INDIRECT(ADDRESS(2,COLUMN())),OFFSET($BN$2,0,0,ROW()-1,60),ROW()-1,FALSE))</f>
        <v/>
      </c>
      <c r="BN21">
        <f>78634</f>
        <v>78634</v>
      </c>
      <c r="BO21">
        <f>80025</f>
        <v>80025</v>
      </c>
      <c r="BP21">
        <f>81486</f>
        <v>81486</v>
      </c>
      <c r="BQ21">
        <f>82948</f>
        <v>82948</v>
      </c>
      <c r="BR21">
        <f>84045</f>
        <v>84045</v>
      </c>
      <c r="BS21">
        <f>85342</f>
        <v>85342</v>
      </c>
      <c r="BT21">
        <f>86938</f>
        <v>86938</v>
      </c>
      <c r="BU21">
        <f>88462</f>
        <v>88462</v>
      </c>
      <c r="BV21">
        <f>88740</f>
        <v>88740</v>
      </c>
      <c r="BW21">
        <f>85574</f>
        <v>85574</v>
      </c>
      <c r="BX21">
        <f>61503</f>
        <v>61503</v>
      </c>
      <c r="BY21">
        <f>43654</f>
        <v>43654</v>
      </c>
      <c r="BZ21">
        <f>41858</f>
        <v>41858</v>
      </c>
      <c r="CA21">
        <f>0</f>
        <v>0</v>
      </c>
      <c r="CB21">
        <f>0</f>
        <v>0</v>
      </c>
      <c r="CC21">
        <f>0</f>
        <v>0</v>
      </c>
      <c r="CD21">
        <f>0</f>
        <v>0</v>
      </c>
      <c r="CE21">
        <f>0</f>
        <v>0</v>
      </c>
      <c r="CF21">
        <f>0</f>
        <v>0</v>
      </c>
      <c r="CG21">
        <f>0</f>
        <v>0</v>
      </c>
      <c r="CH21">
        <f>0</f>
        <v>0</v>
      </c>
      <c r="CI21">
        <f>46481</f>
        <v>46481</v>
      </c>
      <c r="CJ21">
        <f>46383</f>
        <v>46383</v>
      </c>
      <c r="CK21">
        <f>46285</f>
        <v>46285</v>
      </c>
      <c r="CL21">
        <f>46050</f>
        <v>46050</v>
      </c>
      <c r="CM21">
        <f>46046</f>
        <v>46046</v>
      </c>
      <c r="CN21">
        <f>46055</f>
        <v>46055</v>
      </c>
      <c r="CO21">
        <f>44612</f>
        <v>44612</v>
      </c>
      <c r="CP21">
        <f>44362</f>
        <v>44362</v>
      </c>
      <c r="CQ21">
        <f>44018</f>
        <v>44018</v>
      </c>
      <c r="CR21">
        <f>43659</f>
        <v>43659</v>
      </c>
      <c r="CS21">
        <f>43393</f>
        <v>43393</v>
      </c>
      <c r="CT21">
        <f>42991</f>
        <v>42991</v>
      </c>
      <c r="CU21">
        <f>42873</f>
        <v>42873</v>
      </c>
      <c r="CV21">
        <f>42030</f>
        <v>42030</v>
      </c>
      <c r="CW21">
        <f>42113</f>
        <v>42113</v>
      </c>
      <c r="CX21">
        <f>43590</f>
        <v>43590</v>
      </c>
      <c r="CY21">
        <f>44690</f>
        <v>44690</v>
      </c>
      <c r="CZ21">
        <f>46233</f>
        <v>46233</v>
      </c>
      <c r="DA21">
        <f>45597</f>
        <v>45597</v>
      </c>
      <c r="DB21">
        <f>44974</f>
        <v>44974</v>
      </c>
      <c r="DC21">
        <f>44231</f>
        <v>44231</v>
      </c>
      <c r="DD21">
        <f>41995</f>
        <v>41995</v>
      </c>
      <c r="DE21">
        <f>40712</f>
        <v>40712</v>
      </c>
      <c r="DF21">
        <f>38920</f>
        <v>38920</v>
      </c>
      <c r="DG21">
        <f>36904</f>
        <v>36904</v>
      </c>
      <c r="DH21">
        <f>34668</f>
        <v>34668</v>
      </c>
      <c r="DI21">
        <f>34716</f>
        <v>34716</v>
      </c>
      <c r="DJ21">
        <f>34389</f>
        <v>34389</v>
      </c>
      <c r="DK21">
        <f>34509</f>
        <v>34509</v>
      </c>
      <c r="DL21">
        <f>34635</f>
        <v>34635</v>
      </c>
      <c r="DM21">
        <f>21505</f>
        <v>21505</v>
      </c>
      <c r="DN21">
        <f>18877</f>
        <v>18877</v>
      </c>
      <c r="DO21">
        <f>16269</f>
        <v>16269</v>
      </c>
      <c r="DP21">
        <f>13280</f>
        <v>13280</v>
      </c>
      <c r="DQ21">
        <f>8213</f>
        <v>8213</v>
      </c>
      <c r="DR21">
        <f>1469</f>
        <v>1469</v>
      </c>
      <c r="DS21">
        <f>557</f>
        <v>557</v>
      </c>
      <c r="DT21">
        <f>590</f>
        <v>590</v>
      </c>
      <c r="DU21" t="str">
        <f>""</f>
        <v/>
      </c>
    </row>
    <row r="22" spans="1:125" x14ac:dyDescent="0.25">
      <c r="A22" t="str">
        <f>"                Wells Fargo &amp; Co"</f>
        <v xml:space="preserve">                Wells Fargo &amp; Co</v>
      </c>
      <c r="B22" t="str">
        <f>"WFC US Equity"</f>
        <v>WFC US Equity</v>
      </c>
      <c r="C22" t="str">
        <f t="shared" si="0"/>
        <v>FC470</v>
      </c>
      <c r="D22" t="str">
        <f t="shared" si="1"/>
        <v>FDIC_SECS_HELD_TO_MTY_BOOK_VAL</v>
      </c>
      <c r="E22" t="str">
        <f t="shared" si="2"/>
        <v>Dynamic</v>
      </c>
      <c r="F22">
        <f ca="1">IF(AND(ISNUMBER($F$164),$B$145=1),$F$164,HLOOKUP(INDIRECT(ADDRESS(2,COLUMN())),OFFSET($BN$2,0,0,ROW()-1,60),ROW()-1,FALSE))</f>
        <v>235043</v>
      </c>
      <c r="G22">
        <f ca="1">IF(AND(ISNUMBER($G$164),$B$145=1),$G$164,HLOOKUP(INDIRECT(ADDRESS(2,COLUMN())),OFFSET($BN$2,0,0,ROW()-1,60),ROW()-1,FALSE))</f>
        <v>243241</v>
      </c>
      <c r="H22">
        <f ca="1">IF(AND(ISNUMBER($H$164),$B$145=1),$H$164,HLOOKUP(INDIRECT(ADDRESS(2,COLUMN())),OFFSET($BN$2,0,0,ROW()-1,60),ROW()-1,FALSE))</f>
        <v>250833</v>
      </c>
      <c r="I22">
        <f ca="1">IF(AND(ISNUMBER($I$164),$B$145=1),$I$164,HLOOKUP(INDIRECT(ADDRESS(2,COLUMN())),OFFSET($BN$2,0,0,ROW()-1,60),ROW()-1,FALSE))</f>
        <v>258806</v>
      </c>
      <c r="J22">
        <f ca="1">IF(AND(ISNUMBER($J$164),$B$145=1),$J$164,HLOOKUP(INDIRECT(ADDRESS(2,COLUMN())),OFFSET($BN$2,0,0,ROW()-1,60),ROW()-1,FALSE))</f>
        <v>262801</v>
      </c>
      <c r="K22">
        <f ca="1">IF(AND(ISNUMBER($K$164),$B$145=1),$K$164,HLOOKUP(INDIRECT(ADDRESS(2,COLUMN())),OFFSET($BN$2,0,0,ROW()-1,60),ROW()-1,FALSE))</f>
        <v>267301</v>
      </c>
      <c r="L22">
        <f ca="1">IF(AND(ISNUMBER($L$164),$B$145=1),$L$164,HLOOKUP(INDIRECT(ADDRESS(2,COLUMN())),OFFSET($BN$2,0,0,ROW()-1,60),ROW()-1,FALSE))</f>
        <v>272436</v>
      </c>
      <c r="M22">
        <f ca="1">IF(AND(ISNUMBER($M$164),$B$145=1),$M$164,HLOOKUP(INDIRECT(ADDRESS(2,COLUMN())),OFFSET($BN$2,0,0,ROW()-1,60),ROW()-1,FALSE))</f>
        <v>277224</v>
      </c>
      <c r="N22">
        <f ca="1">IF(AND(ISNUMBER($N$164),$B$145=1),$N$164,HLOOKUP(INDIRECT(ADDRESS(2,COLUMN())),OFFSET($BN$2,0,0,ROW()-1,60),ROW()-1,FALSE))</f>
        <v>297144</v>
      </c>
      <c r="O22">
        <f ca="1">IF(AND(ISNUMBER($O$164),$B$145=1),$O$164,HLOOKUP(INDIRECT(ADDRESS(2,COLUMN())),OFFSET($BN$2,0,0,ROW()-1,60),ROW()-1,FALSE))</f>
        <v>300530</v>
      </c>
      <c r="P22">
        <f ca="1">IF(AND(ISNUMBER($P$164),$B$145=1),$P$164,HLOOKUP(INDIRECT(ADDRESS(2,COLUMN())),OFFSET($BN$2,0,0,ROW()-1,60),ROW()-1,FALSE))</f>
        <v>301866</v>
      </c>
      <c r="Q22">
        <f ca="1">IF(AND(ISNUMBER($Q$164),$B$145=1),$Q$164,HLOOKUP(INDIRECT(ADDRESS(2,COLUMN())),OFFSET($BN$2,0,0,ROW()-1,60),ROW()-1,FALSE))</f>
        <v>280891</v>
      </c>
      <c r="R22">
        <f ca="1">IF(AND(ISNUMBER($R$164),$B$145=1),$R$164,HLOOKUP(INDIRECT(ADDRESS(2,COLUMN())),OFFSET($BN$2,0,0,ROW()-1,60),ROW()-1,FALSE))</f>
        <v>272118</v>
      </c>
      <c r="S22">
        <f ca="1">IF(AND(ISNUMBER($S$164),$B$145=1),$S$164,HLOOKUP(INDIRECT(ADDRESS(2,COLUMN())),OFFSET($BN$2,0,0,ROW()-1,60),ROW()-1,FALSE))</f>
        <v>262567</v>
      </c>
      <c r="T22">
        <f ca="1">IF(AND(ISNUMBER($T$164),$B$145=1),$T$164,HLOOKUP(INDIRECT(ADDRESS(2,COLUMN())),OFFSET($BN$2,0,0,ROW()-1,60),ROW()-1,FALSE))</f>
        <v>261018</v>
      </c>
      <c r="U22">
        <f ca="1">IF(AND(ISNUMBER($U$164),$B$145=1),$U$164,HLOOKUP(INDIRECT(ADDRESS(2,COLUMN())),OFFSET($BN$2,0,0,ROW()-1,60),ROW()-1,FALSE))</f>
        <v>232280</v>
      </c>
      <c r="V22">
        <f ca="1">IF(AND(ISNUMBER($V$164),$B$145=1),$V$164,HLOOKUP(INDIRECT(ADDRESS(2,COLUMN())),OFFSET($BN$2,0,0,ROW()-1,60),ROW()-1,FALSE))</f>
        <v>205761</v>
      </c>
      <c r="W22">
        <f ca="1">IF(AND(ISNUMBER($W$164),$B$145=1),$W$164,HLOOKUP(INDIRECT(ADDRESS(2,COLUMN())),OFFSET($BN$2,0,0,ROW()-1,60),ROW()-1,FALSE))</f>
        <v>182621</v>
      </c>
      <c r="X22">
        <f ca="1">IF(AND(ISNUMBER($X$164),$B$145=1),$X$164,HLOOKUP(INDIRECT(ADDRESS(2,COLUMN())),OFFSET($BN$2,0,0,ROW()-1,60),ROW()-1,FALSE))</f>
        <v>169022</v>
      </c>
      <c r="Y22">
        <f ca="1">IF(AND(ISNUMBER($Y$164),$B$145=1),$Y$164,HLOOKUP(INDIRECT(ADDRESS(2,COLUMN())),OFFSET($BN$2,0,0,ROW()-1,60),ROW()-1,FALSE))</f>
        <v>169920</v>
      </c>
      <c r="Z22">
        <f ca="1">IF(AND(ISNUMBER($Z$164),$B$145=1),$Z$164,HLOOKUP(INDIRECT(ADDRESS(2,COLUMN())),OFFSET($BN$2,0,0,ROW()-1,60),ROW()-1,FALSE))</f>
        <v>153933</v>
      </c>
      <c r="AA22">
        <f ca="1">IF(AND(ISNUMBER($AA$164),$B$145=1),$AA$164,HLOOKUP(INDIRECT(ADDRESS(2,COLUMN())),OFFSET($BN$2,0,0,ROW()-1,60),ROW()-1,FALSE))</f>
        <v>153179</v>
      </c>
      <c r="AB22">
        <f ca="1">IF(AND(ISNUMBER($AB$164),$B$145=1),$AB$164,HLOOKUP(INDIRECT(ADDRESS(2,COLUMN())),OFFSET($BN$2,0,0,ROW()-1,60),ROW()-1,FALSE))</f>
        <v>145876</v>
      </c>
      <c r="AC22">
        <f ca="1">IF(AND(ISNUMBER($AC$164),$B$145=1),$AC$164,HLOOKUP(INDIRECT(ADDRESS(2,COLUMN())),OFFSET($BN$2,0,0,ROW()-1,60),ROW()-1,FALSE))</f>
        <v>144990</v>
      </c>
      <c r="AD22">
        <f ca="1">IF(AND(ISNUMBER($AD$164),$B$145=1),$AD$164,HLOOKUP(INDIRECT(ADDRESS(2,COLUMN())),OFFSET($BN$2,0,0,ROW()-1,60),ROW()-1,FALSE))</f>
        <v>144788</v>
      </c>
      <c r="AE22">
        <f ca="1">IF(AND(ISNUMBER($AE$164),$B$145=1),$AE$164,HLOOKUP(INDIRECT(ADDRESS(2,COLUMN())),OFFSET($BN$2,0,0,ROW()-1,60),ROW()-1,FALSE))</f>
        <v>144131</v>
      </c>
      <c r="AF22">
        <f ca="1">IF(AND(ISNUMBER($AF$164),$B$145=1),$AF$164,HLOOKUP(INDIRECT(ADDRESS(2,COLUMN())),OFFSET($BN$2,0,0,ROW()-1,60),ROW()-1,FALSE))</f>
        <v>144206</v>
      </c>
      <c r="AG22">
        <f ca="1">IF(AND(ISNUMBER($AG$164),$B$145=1),$AG$164,HLOOKUP(INDIRECT(ADDRESS(2,COLUMN())),OFFSET($BN$2,0,0,ROW()-1,60),ROW()-1,FALSE))</f>
        <v>141446</v>
      </c>
      <c r="AH22">
        <f ca="1">IF(AND(ISNUMBER($AH$164),$B$145=1),$AH$164,HLOOKUP(INDIRECT(ADDRESS(2,COLUMN())),OFFSET($BN$2,0,0,ROW()-1,60),ROW()-1,FALSE))</f>
        <v>139335</v>
      </c>
      <c r="AI22">
        <f ca="1">IF(AND(ISNUMBER($AI$164),$B$145=1),$AI$164,HLOOKUP(INDIRECT(ADDRESS(2,COLUMN())),OFFSET($BN$2,0,0,ROW()-1,60),ROW()-1,FALSE))</f>
        <v>142423</v>
      </c>
      <c r="AJ22">
        <f ca="1">IF(AND(ISNUMBER($AJ$164),$B$145=1),$AJ$164,HLOOKUP(INDIRECT(ADDRESS(2,COLUMN())),OFFSET($BN$2,0,0,ROW()-1,60),ROW()-1,FALSE))</f>
        <v>140392</v>
      </c>
      <c r="AK22">
        <f ca="1">IF(AND(ISNUMBER($AK$164),$B$145=1),$AK$164,HLOOKUP(INDIRECT(ADDRESS(2,COLUMN())),OFFSET($BN$2,0,0,ROW()-1,60),ROW()-1,FALSE))</f>
        <v>108030</v>
      </c>
      <c r="AL22">
        <f ca="1">IF(AND(ISNUMBER($AL$164),$B$145=1),$AL$164,HLOOKUP(INDIRECT(ADDRESS(2,COLUMN())),OFFSET($BN$2,0,0,ROW()-1,60),ROW()-1,FALSE))</f>
        <v>99583</v>
      </c>
      <c r="AM22">
        <f ca="1">IF(AND(ISNUMBER($AM$164),$B$145=1),$AM$164,HLOOKUP(INDIRECT(ADDRESS(2,COLUMN())),OFFSET($BN$2,0,0,ROW()-1,60),ROW()-1,FALSE))</f>
        <v>99241</v>
      </c>
      <c r="AN22">
        <f ca="1">IF(AND(ISNUMBER($AN$164),$B$145=1),$AN$164,HLOOKUP(INDIRECT(ADDRESS(2,COLUMN())),OFFSET($BN$2,0,0,ROW()-1,60),ROW()-1,FALSE))</f>
        <v>100420</v>
      </c>
      <c r="AO22">
        <f ca="1">IF(AND(ISNUMBER($AO$164),$B$145=1),$AO$164,HLOOKUP(INDIRECT(ADDRESS(2,COLUMN())),OFFSET($BN$2,0,0,ROW()-1,60),ROW()-1,FALSE))</f>
        <v>79348</v>
      </c>
      <c r="AP22">
        <f ca="1">IF(AND(ISNUMBER($AP$164),$B$145=1),$AP$164,HLOOKUP(INDIRECT(ADDRESS(2,COLUMN())),OFFSET($BN$2,0,0,ROW()-1,60),ROW()-1,FALSE))</f>
        <v>80197</v>
      </c>
      <c r="AQ22">
        <f ca="1">IF(AND(ISNUMBER($AQ$164),$B$145=1),$AQ$164,HLOOKUP(INDIRECT(ADDRESS(2,COLUMN())),OFFSET($BN$2,0,0,ROW()-1,60),ROW()-1,FALSE))</f>
        <v>78668</v>
      </c>
      <c r="AR22">
        <f ca="1">IF(AND(ISNUMBER($AR$164),$B$145=1),$AR$164,HLOOKUP(INDIRECT(ADDRESS(2,COLUMN())),OFFSET($BN$2,0,0,ROW()-1,60),ROW()-1,FALSE))</f>
        <v>80102</v>
      </c>
      <c r="AS22">
        <f ca="1">IF(AND(ISNUMBER($AS$164),$B$145=1),$AS$164,HLOOKUP(INDIRECT(ADDRESS(2,COLUMN())),OFFSET($BN$2,0,0,ROW()-1,60),ROW()-1,FALSE))</f>
        <v>67133</v>
      </c>
      <c r="AT22">
        <f ca="1">IF(AND(ISNUMBER($AT$164),$B$145=1),$AT$164,HLOOKUP(INDIRECT(ADDRESS(2,COLUMN())),OFFSET($BN$2,0,0,ROW()-1,60),ROW()-1,FALSE))</f>
        <v>55483</v>
      </c>
      <c r="AU22">
        <f ca="1">IF(AND(ISNUMBER($AU$164),$B$145=1),$AU$164,HLOOKUP(INDIRECT(ADDRESS(2,COLUMN())),OFFSET($BN$2,0,0,ROW()-1,60),ROW()-1,FALSE))</f>
        <v>40758</v>
      </c>
      <c r="AV22">
        <f ca="1">IF(AND(ISNUMBER($AV$164),$B$145=1),$AV$164,HLOOKUP(INDIRECT(ADDRESS(2,COLUMN())),OFFSET($BN$2,0,0,ROW()-1,60),ROW()-1,FALSE))</f>
        <v>30108</v>
      </c>
      <c r="AW22">
        <f ca="1">IF(AND(ISNUMBER($AW$164),$B$145=1),$AW$164,HLOOKUP(INDIRECT(ADDRESS(2,COLUMN())),OFFSET($BN$2,0,0,ROW()-1,60),ROW()-1,FALSE))</f>
        <v>17662</v>
      </c>
      <c r="AX22">
        <f ca="1">IF(AND(ISNUMBER($AX$164),$B$145=1),$AX$164,HLOOKUP(INDIRECT(ADDRESS(2,COLUMN())),OFFSET($BN$2,0,0,ROW()-1,60),ROW()-1,FALSE))</f>
        <v>12346</v>
      </c>
      <c r="AY22">
        <f ca="1">IF(AND(ISNUMBER($AY$164),$B$145=1),$AY$164,HLOOKUP(INDIRECT(ADDRESS(2,COLUMN())),OFFSET($BN$2,0,0,ROW()-1,60),ROW()-1,FALSE))</f>
        <v>0</v>
      </c>
      <c r="AZ22">
        <f ca="1">IF(AND(ISNUMBER($AZ$164),$B$145=1),$AZ$164,HLOOKUP(INDIRECT(ADDRESS(2,COLUMN())),OFFSET($BN$2,0,0,ROW()-1,60),ROW()-1,FALSE))</f>
        <v>0</v>
      </c>
      <c r="BA22">
        <f ca="1">IF(AND(ISNUMBER($BA$164),$B$145=1),$BA$164,HLOOKUP(INDIRECT(ADDRESS(2,COLUMN())),OFFSET($BN$2,0,0,ROW()-1,60),ROW()-1,FALSE))</f>
        <v>0</v>
      </c>
      <c r="BB22">
        <f ca="1">IF(AND(ISNUMBER($BB$164),$B$145=1),$BB$164,HLOOKUP(INDIRECT(ADDRESS(2,COLUMN())),OFFSET($BN$2,0,0,ROW()-1,60),ROW()-1,FALSE))</f>
        <v>0</v>
      </c>
      <c r="BC22">
        <f ca="1">IF(AND(ISNUMBER($BC$164),$B$145=1),$BC$164,HLOOKUP(INDIRECT(ADDRESS(2,COLUMN())),OFFSET($BN$2,0,0,ROW()-1,60),ROW()-1,FALSE))</f>
        <v>0</v>
      </c>
      <c r="BD22">
        <f ca="1">IF(AND(ISNUMBER($BD$164),$B$145=1),$BD$164,HLOOKUP(INDIRECT(ADDRESS(2,COLUMN())),OFFSET($BN$2,0,0,ROW()-1,60),ROW()-1,FALSE))</f>
        <v>0</v>
      </c>
      <c r="BE22">
        <f ca="1">IF(AND(ISNUMBER($BE$164),$B$145=1),$BE$164,HLOOKUP(INDIRECT(ADDRESS(2,COLUMN())),OFFSET($BN$2,0,0,ROW()-1,60),ROW()-1,FALSE))</f>
        <v>0</v>
      </c>
      <c r="BF22">
        <f ca="1">IF(AND(ISNUMBER($BF$164),$B$145=1),$BF$164,HLOOKUP(INDIRECT(ADDRESS(2,COLUMN())),OFFSET($BN$2,0,0,ROW()-1,60),ROW()-1,FALSE))</f>
        <v>0</v>
      </c>
      <c r="BG22">
        <f ca="1">IF(AND(ISNUMBER($BG$164),$B$145=1),$BG$164,HLOOKUP(INDIRECT(ADDRESS(2,COLUMN())),OFFSET($BN$2,0,0,ROW()-1,60),ROW()-1,FALSE))</f>
        <v>0</v>
      </c>
      <c r="BH22">
        <f ca="1">IF(AND(ISNUMBER($BH$164),$B$145=1),$BH$164,HLOOKUP(INDIRECT(ADDRESS(2,COLUMN())),OFFSET($BN$2,0,0,ROW()-1,60),ROW()-1,FALSE))</f>
        <v>0</v>
      </c>
      <c r="BI22">
        <f ca="1">IF(AND(ISNUMBER($BI$164),$B$145=1),$BI$164,HLOOKUP(INDIRECT(ADDRESS(2,COLUMN())),OFFSET($BN$2,0,0,ROW()-1,60),ROW()-1,FALSE))</f>
        <v>0</v>
      </c>
      <c r="BJ22">
        <f ca="1">IF(AND(ISNUMBER($BJ$164),$B$145=1),$BJ$164,HLOOKUP(INDIRECT(ADDRESS(2,COLUMN())),OFFSET($BN$2,0,0,ROW()-1,60),ROW()-1,FALSE))</f>
        <v>0</v>
      </c>
      <c r="BK22">
        <f ca="1">IF(AND(ISNUMBER($BK$164),$B$145=1),$BK$164,HLOOKUP(INDIRECT(ADDRESS(2,COLUMN())),OFFSET($BN$2,0,0,ROW()-1,60),ROW()-1,FALSE))</f>
        <v>0</v>
      </c>
      <c r="BL22">
        <f ca="1">IF(AND(ISNUMBER($BL$164),$B$145=1),$BL$164,HLOOKUP(INDIRECT(ADDRESS(2,COLUMN())),OFFSET($BN$2,0,0,ROW()-1,60),ROW()-1,FALSE))</f>
        <v>0</v>
      </c>
      <c r="BM22" t="str">
        <f ca="1">IF(AND(ISNUMBER($BM$164),$B$145=1),$BM$164,HLOOKUP(INDIRECT(ADDRESS(2,COLUMN())),OFFSET($BN$2,0,0,ROW()-1,60),ROW()-1,FALSE))</f>
        <v/>
      </c>
      <c r="BN22">
        <f>235043</f>
        <v>235043</v>
      </c>
      <c r="BO22">
        <f>243241</f>
        <v>243241</v>
      </c>
      <c r="BP22">
        <f>250833</f>
        <v>250833</v>
      </c>
      <c r="BQ22">
        <f>258806</f>
        <v>258806</v>
      </c>
      <c r="BR22">
        <f>262801</f>
        <v>262801</v>
      </c>
      <c r="BS22">
        <f>267301</f>
        <v>267301</v>
      </c>
      <c r="BT22">
        <f>272436</f>
        <v>272436</v>
      </c>
      <c r="BU22">
        <f>277224</f>
        <v>277224</v>
      </c>
      <c r="BV22">
        <f>297144</f>
        <v>297144</v>
      </c>
      <c r="BW22">
        <f>300530</f>
        <v>300530</v>
      </c>
      <c r="BX22">
        <f>301866</f>
        <v>301866</v>
      </c>
      <c r="BY22">
        <f>280891</f>
        <v>280891</v>
      </c>
      <c r="BZ22">
        <f>272118</f>
        <v>272118</v>
      </c>
      <c r="CA22">
        <f>262567</f>
        <v>262567</v>
      </c>
      <c r="CB22">
        <f>261018</f>
        <v>261018</v>
      </c>
      <c r="CC22">
        <f>232280</f>
        <v>232280</v>
      </c>
      <c r="CD22">
        <f>205761</f>
        <v>205761</v>
      </c>
      <c r="CE22">
        <f>182621</f>
        <v>182621</v>
      </c>
      <c r="CF22">
        <f>169022</f>
        <v>169022</v>
      </c>
      <c r="CG22">
        <f>169920</f>
        <v>169920</v>
      </c>
      <c r="CH22">
        <f>153933</f>
        <v>153933</v>
      </c>
      <c r="CI22">
        <f>153179</f>
        <v>153179</v>
      </c>
      <c r="CJ22">
        <f>145876</f>
        <v>145876</v>
      </c>
      <c r="CK22">
        <f>144990</f>
        <v>144990</v>
      </c>
      <c r="CL22">
        <f>144788</f>
        <v>144788</v>
      </c>
      <c r="CM22">
        <f>144131</f>
        <v>144131</v>
      </c>
      <c r="CN22">
        <f>144206</f>
        <v>144206</v>
      </c>
      <c r="CO22">
        <f>141446</f>
        <v>141446</v>
      </c>
      <c r="CP22">
        <f>139335</f>
        <v>139335</v>
      </c>
      <c r="CQ22">
        <f>142423</f>
        <v>142423</v>
      </c>
      <c r="CR22">
        <f>140392</f>
        <v>140392</v>
      </c>
      <c r="CS22">
        <f>108030</f>
        <v>108030</v>
      </c>
      <c r="CT22">
        <f>99583</f>
        <v>99583</v>
      </c>
      <c r="CU22">
        <f>99241</f>
        <v>99241</v>
      </c>
      <c r="CV22">
        <f>100420</f>
        <v>100420</v>
      </c>
      <c r="CW22">
        <f>79348</f>
        <v>79348</v>
      </c>
      <c r="CX22">
        <f>80197</f>
        <v>80197</v>
      </c>
      <c r="CY22">
        <f>78668</f>
        <v>78668</v>
      </c>
      <c r="CZ22">
        <f>80102</f>
        <v>80102</v>
      </c>
      <c r="DA22">
        <f>67133</f>
        <v>67133</v>
      </c>
      <c r="DB22">
        <f>55483</f>
        <v>55483</v>
      </c>
      <c r="DC22">
        <f>40758</f>
        <v>40758</v>
      </c>
      <c r="DD22">
        <f>30108</f>
        <v>30108</v>
      </c>
      <c r="DE22">
        <f>17662</f>
        <v>17662</v>
      </c>
      <c r="DF22">
        <f>12346</f>
        <v>12346</v>
      </c>
      <c r="DG22">
        <f>0</f>
        <v>0</v>
      </c>
      <c r="DH22">
        <f>0</f>
        <v>0</v>
      </c>
      <c r="DI22">
        <f>0</f>
        <v>0</v>
      </c>
      <c r="DJ22">
        <f>0</f>
        <v>0</v>
      </c>
      <c r="DK22">
        <f>0</f>
        <v>0</v>
      </c>
      <c r="DL22">
        <f>0</f>
        <v>0</v>
      </c>
      <c r="DM22">
        <f>0</f>
        <v>0</v>
      </c>
      <c r="DN22">
        <f>0</f>
        <v>0</v>
      </c>
      <c r="DO22">
        <f>0</f>
        <v>0</v>
      </c>
      <c r="DP22">
        <f>0</f>
        <v>0</v>
      </c>
      <c r="DQ22">
        <f>0</f>
        <v>0</v>
      </c>
      <c r="DR22">
        <f>0</f>
        <v>0</v>
      </c>
      <c r="DS22">
        <f>0</f>
        <v>0</v>
      </c>
      <c r="DT22">
        <f>0</f>
        <v>0</v>
      </c>
      <c r="DU22" t="str">
        <f>""</f>
        <v/>
      </c>
    </row>
    <row r="23" spans="1:125" x14ac:dyDescent="0.25">
      <c r="A23" t="str">
        <f>"                Western Alliance Bancorp"</f>
        <v xml:space="preserve">                Western Alliance Bancorp</v>
      </c>
      <c r="B23" t="str">
        <f>"WAL US Equity"</f>
        <v>WAL US Equity</v>
      </c>
      <c r="C23" t="str">
        <f t="shared" si="0"/>
        <v>FC470</v>
      </c>
      <c r="D23" t="str">
        <f t="shared" si="1"/>
        <v>FDIC_SECS_HELD_TO_MTY_BOOK_VAL</v>
      </c>
      <c r="E23" t="str">
        <f t="shared" si="2"/>
        <v>Dynamic</v>
      </c>
      <c r="F23">
        <f ca="1">IF(AND(ISNUMBER($F$165),$B$145=1),$F$165,HLOOKUP(INDIRECT(ADDRESS(2,COLUMN())),OFFSET($BN$2,0,0,ROW()-1,60),ROW()-1,FALSE))</f>
        <v>1526.9069999999999</v>
      </c>
      <c r="G23">
        <f ca="1">IF(AND(ISNUMBER($G$165),$B$145=1),$G$165,HLOOKUP(INDIRECT(ADDRESS(2,COLUMN())),OFFSET($BN$2,0,0,ROW()-1,60),ROW()-1,FALSE))</f>
        <v>1524.598</v>
      </c>
      <c r="H23">
        <f ca="1">IF(AND(ISNUMBER($H$165),$B$145=1),$H$165,HLOOKUP(INDIRECT(ADDRESS(2,COLUMN())),OFFSET($BN$2,0,0,ROW()-1,60),ROW()-1,FALSE))</f>
        <v>1481.4770000000001</v>
      </c>
      <c r="I23">
        <f ca="1">IF(AND(ISNUMBER($I$165),$B$145=1),$I$165,HLOOKUP(INDIRECT(ADDRESS(2,COLUMN())),OFFSET($BN$2,0,0,ROW()-1,60),ROW()-1,FALSE))</f>
        <v>1461.644</v>
      </c>
      <c r="J23">
        <f ca="1">IF(AND(ISNUMBER($J$165),$B$145=1),$J$165,HLOOKUP(INDIRECT(ADDRESS(2,COLUMN())),OFFSET($BN$2,0,0,ROW()-1,60),ROW()-1,FALSE))</f>
        <v>1428.8630000000001</v>
      </c>
      <c r="K23">
        <f ca="1">IF(AND(ISNUMBER($K$165),$B$145=1),$K$165,HLOOKUP(INDIRECT(ADDRESS(2,COLUMN())),OFFSET($BN$2,0,0,ROW()-1,60),ROW()-1,FALSE))</f>
        <v>1400.9349999999999</v>
      </c>
      <c r="L23">
        <f ca="1">IF(AND(ISNUMBER($L$165),$B$145=1),$L$165,HLOOKUP(INDIRECT(ADDRESS(2,COLUMN())),OFFSET($BN$2,0,0,ROW()-1,60),ROW()-1,FALSE))</f>
        <v>1367.2719999999999</v>
      </c>
      <c r="M23">
        <f ca="1">IF(AND(ISNUMBER($M$165),$B$145=1),$M$165,HLOOKUP(INDIRECT(ADDRESS(2,COLUMN())),OFFSET($BN$2,0,0,ROW()-1,60),ROW()-1,FALSE))</f>
        <v>1325.3520000000001</v>
      </c>
      <c r="N23">
        <f ca="1">IF(AND(ISNUMBER($N$165),$B$145=1),$N$165,HLOOKUP(INDIRECT(ADDRESS(2,COLUMN())),OFFSET($BN$2,0,0,ROW()-1,60),ROW()-1,FALSE))</f>
        <v>1288.8620000000001</v>
      </c>
      <c r="O23">
        <f ca="1">IF(AND(ISNUMBER($O$165),$B$145=1),$O$165,HLOOKUP(INDIRECT(ADDRESS(2,COLUMN())),OFFSET($BN$2,0,0,ROW()-1,60),ROW()-1,FALSE))</f>
        <v>1269.6279999999999</v>
      </c>
      <c r="P23">
        <f ca="1">IF(AND(ISNUMBER($P$165),$B$145=1),$P$165,HLOOKUP(INDIRECT(ADDRESS(2,COLUMN())),OFFSET($BN$2,0,0,ROW()-1,60),ROW()-1,FALSE))</f>
        <v>1217.915</v>
      </c>
      <c r="Q23">
        <f ca="1">IF(AND(ISNUMBER($Q$165),$B$145=1),$Q$165,HLOOKUP(INDIRECT(ADDRESS(2,COLUMN())),OFFSET($BN$2,0,0,ROW()-1,60),ROW()-1,FALSE))</f>
        <v>1160.9649999999999</v>
      </c>
      <c r="R23">
        <f ca="1">IF(AND(ISNUMBER($R$165),$B$145=1),$R$165,HLOOKUP(INDIRECT(ADDRESS(2,COLUMN())),OFFSET($BN$2,0,0,ROW()-1,60),ROW()-1,FALSE))</f>
        <v>1107.134</v>
      </c>
      <c r="S23">
        <f ca="1">IF(AND(ISNUMBER($S$165),$B$145=1),$S$165,HLOOKUP(INDIRECT(ADDRESS(2,COLUMN())),OFFSET($BN$2,0,0,ROW()-1,60),ROW()-1,FALSE))</f>
        <v>1046.942</v>
      </c>
      <c r="T23">
        <f ca="1">IF(AND(ISNUMBER($T$165),$B$145=1),$T$165,HLOOKUP(INDIRECT(ADDRESS(2,COLUMN())),OFFSET($BN$2,0,0,ROW()-1,60),ROW()-1,FALSE))</f>
        <v>968.66899999999998</v>
      </c>
      <c r="U23">
        <f ca="1">IF(AND(ISNUMBER($U$165),$B$145=1),$U$165,HLOOKUP(INDIRECT(ADDRESS(2,COLUMN())),OFFSET($BN$2,0,0,ROW()-1,60),ROW()-1,FALSE))</f>
        <v>697.96799999999996</v>
      </c>
      <c r="V23">
        <f ca="1">IF(AND(ISNUMBER($V$165),$B$145=1),$V$165,HLOOKUP(INDIRECT(ADDRESS(2,COLUMN())),OFFSET($BN$2,0,0,ROW()-1,60),ROW()-1,FALSE))</f>
        <v>568.75900000000001</v>
      </c>
      <c r="W23">
        <f ca="1">IF(AND(ISNUMBER($W$165),$B$145=1),$W$165,HLOOKUP(INDIRECT(ADDRESS(2,COLUMN())),OFFSET($BN$2,0,0,ROW()-1,60),ROW()-1,FALSE))</f>
        <v>504.47699999999998</v>
      </c>
      <c r="X23">
        <f ca="1">IF(AND(ISNUMBER($X$165),$B$145=1),$X$165,HLOOKUP(INDIRECT(ADDRESS(2,COLUMN())),OFFSET($BN$2,0,0,ROW()-1,60),ROW()-1,FALSE))</f>
        <v>479.38</v>
      </c>
      <c r="Y23">
        <f ca="1">IF(AND(ISNUMBER($Y$165),$B$145=1),$Y$165,HLOOKUP(INDIRECT(ADDRESS(2,COLUMN())),OFFSET($BN$2,0,0,ROW()-1,60),ROW()-1,FALSE))</f>
        <v>483.77499999999998</v>
      </c>
      <c r="Z23">
        <f ca="1">IF(AND(ISNUMBER($Z$165),$B$145=1),$Z$165,HLOOKUP(INDIRECT(ADDRESS(2,COLUMN())),OFFSET($BN$2,0,0,ROW()-1,60),ROW()-1,FALSE))</f>
        <v>485.10700000000003</v>
      </c>
      <c r="AA23">
        <f ca="1">IF(AND(ISNUMBER($AA$165),$B$145=1),$AA$165,HLOOKUP(INDIRECT(ADDRESS(2,COLUMN())),OFFSET($BN$2,0,0,ROW()-1,60),ROW()-1,FALSE))</f>
        <v>442.39600000000002</v>
      </c>
      <c r="AB23">
        <f ca="1">IF(AND(ISNUMBER($AB$165),$B$145=1),$AB$165,HLOOKUP(INDIRECT(ADDRESS(2,COLUMN())),OFFSET($BN$2,0,0,ROW()-1,60),ROW()-1,FALSE))</f>
        <v>435.99700000000001</v>
      </c>
      <c r="AC23">
        <f ca="1">IF(AND(ISNUMBER($AC$165),$B$145=1),$AC$165,HLOOKUP(INDIRECT(ADDRESS(2,COLUMN())),OFFSET($BN$2,0,0,ROW()-1,60),ROW()-1,FALSE))</f>
        <v>310.86500000000001</v>
      </c>
      <c r="AD23">
        <f ca="1">IF(AND(ISNUMBER($AD$165),$B$145=1),$AD$165,HLOOKUP(INDIRECT(ADDRESS(2,COLUMN())),OFFSET($BN$2,0,0,ROW()-1,60),ROW()-1,FALSE))</f>
        <v>302.90499999999997</v>
      </c>
      <c r="AE23">
        <f ca="1">IF(AND(ISNUMBER($AE$165),$B$145=1),$AE$165,HLOOKUP(INDIRECT(ADDRESS(2,COLUMN())),OFFSET($BN$2,0,0,ROW()-1,60),ROW()-1,FALSE))</f>
        <v>288.29000000000002</v>
      </c>
      <c r="AF23">
        <f ca="1">IF(AND(ISNUMBER($AF$165),$B$145=1),$AF$165,HLOOKUP(INDIRECT(ADDRESS(2,COLUMN())),OFFSET($BN$2,0,0,ROW()-1,60),ROW()-1,FALSE))</f>
        <v>280.18599999999998</v>
      </c>
      <c r="AG23">
        <f ca="1">IF(AND(ISNUMBER($AG$165),$B$145=1),$AG$165,HLOOKUP(INDIRECT(ADDRESS(2,COLUMN())),OFFSET($BN$2,0,0,ROW()-1,60),ROW()-1,FALSE))</f>
        <v>262.30399999999997</v>
      </c>
      <c r="AH23">
        <f ca="1">IF(AND(ISNUMBER($AH$165),$B$145=1),$AH$165,HLOOKUP(INDIRECT(ADDRESS(2,COLUMN())),OFFSET($BN$2,0,0,ROW()-1,60),ROW()-1,FALSE))</f>
        <v>255.05</v>
      </c>
      <c r="AI23">
        <f ca="1">IF(AND(ISNUMBER($AI$165),$B$145=1),$AI$165,HLOOKUP(INDIRECT(ADDRESS(2,COLUMN())),OFFSET($BN$2,0,0,ROW()-1,60),ROW()-1,FALSE))</f>
        <v>154.91999999999999</v>
      </c>
      <c r="AJ23">
        <f ca="1">IF(AND(ISNUMBER($AJ$165),$B$145=1),$AJ$165,HLOOKUP(INDIRECT(ADDRESS(2,COLUMN())),OFFSET($BN$2,0,0,ROW()-1,60),ROW()-1,FALSE))</f>
        <v>132.80199999999999</v>
      </c>
      <c r="AK23">
        <f ca="1">IF(AND(ISNUMBER($AK$165),$B$145=1),$AK$165,HLOOKUP(INDIRECT(ADDRESS(2,COLUMN())),OFFSET($BN$2,0,0,ROW()-1,60),ROW()-1,FALSE))</f>
        <v>102.59</v>
      </c>
      <c r="AL23">
        <f ca="1">IF(AND(ISNUMBER($AL$165),$B$145=1),$AL$165,HLOOKUP(INDIRECT(ADDRESS(2,COLUMN())),OFFSET($BN$2,0,0,ROW()-1,60),ROW()-1,FALSE))</f>
        <v>92.078999999999994</v>
      </c>
      <c r="AM23">
        <f ca="1">IF(AND(ISNUMBER($AM$165),$B$145=1),$AM$165,HLOOKUP(INDIRECT(ADDRESS(2,COLUMN())),OFFSET($BN$2,0,0,ROW()-1,60),ROW()-1,FALSE))</f>
        <v>52.420999999999999</v>
      </c>
      <c r="AN23">
        <f ca="1">IF(AND(ISNUMBER($AN$165),$B$145=1),$AN$165,HLOOKUP(INDIRECT(ADDRESS(2,COLUMN())),OFFSET($BN$2,0,0,ROW()-1,60),ROW()-1,FALSE))</f>
        <v>36.929000000000002</v>
      </c>
      <c r="AO23">
        <f ca="1">IF(AND(ISNUMBER($AO$165),$B$145=1),$AO$165,HLOOKUP(INDIRECT(ADDRESS(2,COLUMN())),OFFSET($BN$2,0,0,ROW()-1,60),ROW()-1,FALSE))</f>
        <v>21.513999999999999</v>
      </c>
      <c r="AP23">
        <f ca="1">IF(AND(ISNUMBER($AP$165),$B$145=1),$AP$165,HLOOKUP(INDIRECT(ADDRESS(2,COLUMN())),OFFSET($BN$2,0,0,ROW()-1,60),ROW()-1,FALSE))</f>
        <v>0</v>
      </c>
      <c r="AQ23">
        <f ca="1">IF(AND(ISNUMBER($AQ$165),$B$145=1),$AQ$165,HLOOKUP(INDIRECT(ADDRESS(2,COLUMN())),OFFSET($BN$2,0,0,ROW()-1,60),ROW()-1,FALSE))</f>
        <v>0</v>
      </c>
      <c r="AR23">
        <f ca="1">IF(AND(ISNUMBER($AR$165),$B$145=1),$AR$165,HLOOKUP(INDIRECT(ADDRESS(2,COLUMN())),OFFSET($BN$2,0,0,ROW()-1,60),ROW()-1,FALSE))</f>
        <v>0</v>
      </c>
      <c r="AS23">
        <f ca="1">IF(AND(ISNUMBER($AS$165),$B$145=1),$AS$165,HLOOKUP(INDIRECT(ADDRESS(2,COLUMN())),OFFSET($BN$2,0,0,ROW()-1,60),ROW()-1,FALSE))</f>
        <v>0</v>
      </c>
      <c r="AT23">
        <f ca="1">IF(AND(ISNUMBER($AT$165),$B$145=1),$AT$165,HLOOKUP(INDIRECT(ADDRESS(2,COLUMN())),OFFSET($BN$2,0,0,ROW()-1,60),ROW()-1,FALSE))</f>
        <v>0</v>
      </c>
      <c r="AU23">
        <f ca="1">IF(AND(ISNUMBER($AU$165),$B$145=1),$AU$165,HLOOKUP(INDIRECT(ADDRESS(2,COLUMN())),OFFSET($BN$2,0,0,ROW()-1,60),ROW()-1,FALSE))</f>
        <v>0</v>
      </c>
      <c r="AV23">
        <f ca="1">IF(AND(ISNUMBER($AV$165),$B$145=1),$AV$165,HLOOKUP(INDIRECT(ADDRESS(2,COLUMN())),OFFSET($BN$2,0,0,ROW()-1,60),ROW()-1,FALSE))</f>
        <v>0</v>
      </c>
      <c r="AW23">
        <f ca="1">IF(AND(ISNUMBER($AW$165),$B$145=1),$AW$165,HLOOKUP(INDIRECT(ADDRESS(2,COLUMN())),OFFSET($BN$2,0,0,ROW()-1,60),ROW()-1,FALSE))</f>
        <v>275.738</v>
      </c>
      <c r="AX23">
        <f ca="1">IF(AND(ISNUMBER($AX$165),$B$145=1),$AX$165,HLOOKUP(INDIRECT(ADDRESS(2,COLUMN())),OFFSET($BN$2,0,0,ROW()-1,60),ROW()-1,FALSE))</f>
        <v>283.00599999999997</v>
      </c>
      <c r="AY23">
        <f ca="1">IF(AND(ISNUMBER($AY$165),$B$145=1),$AY$165,HLOOKUP(INDIRECT(ADDRESS(2,COLUMN())),OFFSET($BN$2,0,0,ROW()-1,60),ROW()-1,FALSE))</f>
        <v>289.108</v>
      </c>
      <c r="AZ23">
        <f ca="1">IF(AND(ISNUMBER($AZ$165),$B$145=1),$AZ$165,HLOOKUP(INDIRECT(ADDRESS(2,COLUMN())),OFFSET($BN$2,0,0,ROW()-1,60),ROW()-1,FALSE))</f>
        <v>289.85000000000002</v>
      </c>
      <c r="BA23">
        <f ca="1">IF(AND(ISNUMBER($BA$165),$B$145=1),$BA$165,HLOOKUP(INDIRECT(ADDRESS(2,COLUMN())),OFFSET($BN$2,0,0,ROW()-1,60),ROW()-1,FALSE))</f>
        <v>290.59100000000001</v>
      </c>
      <c r="BB23">
        <f ca="1">IF(AND(ISNUMBER($BB$165),$B$145=1),$BB$165,HLOOKUP(INDIRECT(ADDRESS(2,COLUMN())),OFFSET($BN$2,0,0,ROW()-1,60),ROW()-1,FALSE))</f>
        <v>291.33300000000003</v>
      </c>
      <c r="BC23">
        <f ca="1">IF(AND(ISNUMBER($BC$165),$B$145=1),$BC$165,HLOOKUP(INDIRECT(ADDRESS(2,COLUMN())),OFFSET($BN$2,0,0,ROW()-1,60),ROW()-1,FALSE))</f>
        <v>283.47199999999998</v>
      </c>
      <c r="BD23">
        <f ca="1">IF(AND(ISNUMBER($BD$165),$B$145=1),$BD$165,HLOOKUP(INDIRECT(ADDRESS(2,COLUMN())),OFFSET($BN$2,0,0,ROW()-1,60),ROW()-1,FALSE))</f>
        <v>284.89100000000002</v>
      </c>
      <c r="BE23">
        <f ca="1">IF(AND(ISNUMBER($BE$165),$B$145=1),$BE$165,HLOOKUP(INDIRECT(ADDRESS(2,COLUMN())),OFFSET($BN$2,0,0,ROW()-1,60),ROW()-1,FALSE))</f>
        <v>285.577</v>
      </c>
      <c r="BF23">
        <f ca="1">IF(AND(ISNUMBER($BF$165),$B$145=1),$BF$165,HLOOKUP(INDIRECT(ADDRESS(2,COLUMN())),OFFSET($BN$2,0,0,ROW()-1,60),ROW()-1,FALSE))</f>
        <v>286.25799999999998</v>
      </c>
      <c r="BG23">
        <f ca="1">IF(AND(ISNUMBER($BG$165),$B$145=1),$BG$165,HLOOKUP(INDIRECT(ADDRESS(2,COLUMN())),OFFSET($BN$2,0,0,ROW()-1,60),ROW()-1,FALSE))</f>
        <v>173.19300000000001</v>
      </c>
      <c r="BH23">
        <f ca="1">IF(AND(ISNUMBER($BH$165),$B$145=1),$BH$165,HLOOKUP(INDIRECT(ADDRESS(2,COLUMN())),OFFSET($BN$2,0,0,ROW()-1,60),ROW()-1,FALSE))</f>
        <v>82.441000000000003</v>
      </c>
      <c r="BI23">
        <f ca="1">IF(AND(ISNUMBER($BI$165),$B$145=1),$BI$165,HLOOKUP(INDIRECT(ADDRESS(2,COLUMN())),OFFSET($BN$2,0,0,ROW()-1,60),ROW()-1,FALSE))</f>
        <v>48.149000000000001</v>
      </c>
      <c r="BJ23">
        <f ca="1">IF(AND(ISNUMBER($BJ$165),$B$145=1),$BJ$165,HLOOKUP(INDIRECT(ADDRESS(2,COLUMN())),OFFSET($BN$2,0,0,ROW()-1,60),ROW()-1,FALSE))</f>
        <v>48.151000000000003</v>
      </c>
      <c r="BK23">
        <f ca="1">IF(AND(ISNUMBER($BK$165),$B$145=1),$BK$165,HLOOKUP(INDIRECT(ADDRESS(2,COLUMN())),OFFSET($BN$2,0,0,ROW()-1,60),ROW()-1,FALSE))</f>
        <v>24.103999999999999</v>
      </c>
      <c r="BL23">
        <f ca="1">IF(AND(ISNUMBER($BL$165),$B$145=1),$BL$165,HLOOKUP(INDIRECT(ADDRESS(2,COLUMN())),OFFSET($BN$2,0,0,ROW()-1,60),ROW()-1,FALSE))</f>
        <v>4.6100000000000003</v>
      </c>
      <c r="BM23" t="str">
        <f ca="1">IF(AND(ISNUMBER($BM$165),$B$145=1),$BM$165,HLOOKUP(INDIRECT(ADDRESS(2,COLUMN())),OFFSET($BN$2,0,0,ROW()-1,60),ROW()-1,FALSE))</f>
        <v/>
      </c>
      <c r="BN23">
        <f>1526.907</f>
        <v>1526.9069999999999</v>
      </c>
      <c r="BO23">
        <f>1524.598</f>
        <v>1524.598</v>
      </c>
      <c r="BP23">
        <f>1481.477</f>
        <v>1481.4770000000001</v>
      </c>
      <c r="BQ23">
        <f>1461.644</f>
        <v>1461.644</v>
      </c>
      <c r="BR23">
        <f>1428.863</f>
        <v>1428.8630000000001</v>
      </c>
      <c r="BS23">
        <f>1400.935</f>
        <v>1400.9349999999999</v>
      </c>
      <c r="BT23">
        <f>1367.272</f>
        <v>1367.2719999999999</v>
      </c>
      <c r="BU23">
        <f>1325.352</f>
        <v>1325.3520000000001</v>
      </c>
      <c r="BV23">
        <f>1288.862</f>
        <v>1288.8620000000001</v>
      </c>
      <c r="BW23">
        <f>1269.628</f>
        <v>1269.6279999999999</v>
      </c>
      <c r="BX23">
        <f>1217.915</f>
        <v>1217.915</v>
      </c>
      <c r="BY23">
        <f>1160.965</f>
        <v>1160.9649999999999</v>
      </c>
      <c r="BZ23">
        <f>1107.134</f>
        <v>1107.134</v>
      </c>
      <c r="CA23">
        <f>1046.942</f>
        <v>1046.942</v>
      </c>
      <c r="CB23">
        <f>968.669</f>
        <v>968.66899999999998</v>
      </c>
      <c r="CC23">
        <f>697.968</f>
        <v>697.96799999999996</v>
      </c>
      <c r="CD23">
        <f>568.759</f>
        <v>568.75900000000001</v>
      </c>
      <c r="CE23">
        <f>504.477</f>
        <v>504.47699999999998</v>
      </c>
      <c r="CF23">
        <f>479.38</f>
        <v>479.38</v>
      </c>
      <c r="CG23">
        <f>483.775</f>
        <v>483.77499999999998</v>
      </c>
      <c r="CH23">
        <f>485.107</f>
        <v>485.10700000000003</v>
      </c>
      <c r="CI23">
        <f>442.396</f>
        <v>442.39600000000002</v>
      </c>
      <c r="CJ23">
        <f>435.997</f>
        <v>435.99700000000001</v>
      </c>
      <c r="CK23">
        <f>310.865</f>
        <v>310.86500000000001</v>
      </c>
      <c r="CL23">
        <f>302.905</f>
        <v>302.90499999999997</v>
      </c>
      <c r="CM23">
        <f>288.29</f>
        <v>288.29000000000002</v>
      </c>
      <c r="CN23">
        <f>280.186</f>
        <v>280.18599999999998</v>
      </c>
      <c r="CO23">
        <f>262.304</f>
        <v>262.30399999999997</v>
      </c>
      <c r="CP23">
        <f>255.05</f>
        <v>255.05</v>
      </c>
      <c r="CQ23">
        <f>154.92</f>
        <v>154.91999999999999</v>
      </c>
      <c r="CR23">
        <f>132.802</f>
        <v>132.80199999999999</v>
      </c>
      <c r="CS23">
        <f>102.59</f>
        <v>102.59</v>
      </c>
      <c r="CT23">
        <f>92.079</f>
        <v>92.078999999999994</v>
      </c>
      <c r="CU23">
        <f>52.421</f>
        <v>52.420999999999999</v>
      </c>
      <c r="CV23">
        <f>36.929</f>
        <v>36.929000000000002</v>
      </c>
      <c r="CW23">
        <f>21.514</f>
        <v>21.513999999999999</v>
      </c>
      <c r="CX23">
        <f>0</f>
        <v>0</v>
      </c>
      <c r="CY23">
        <f>0</f>
        <v>0</v>
      </c>
      <c r="CZ23">
        <f>0</f>
        <v>0</v>
      </c>
      <c r="DA23">
        <f>0</f>
        <v>0</v>
      </c>
      <c r="DB23">
        <f>0</f>
        <v>0</v>
      </c>
      <c r="DC23">
        <f>0</f>
        <v>0</v>
      </c>
      <c r="DD23">
        <f>0</f>
        <v>0</v>
      </c>
      <c r="DE23">
        <f>275.738</f>
        <v>275.738</v>
      </c>
      <c r="DF23">
        <f>283.006</f>
        <v>283.00599999999997</v>
      </c>
      <c r="DG23">
        <f>289.108</f>
        <v>289.108</v>
      </c>
      <c r="DH23">
        <f>289.85</f>
        <v>289.85000000000002</v>
      </c>
      <c r="DI23">
        <f>290.591</f>
        <v>290.59100000000001</v>
      </c>
      <c r="DJ23">
        <f>291.333</f>
        <v>291.33300000000003</v>
      </c>
      <c r="DK23">
        <f>283.472</f>
        <v>283.47199999999998</v>
      </c>
      <c r="DL23">
        <f>284.891</f>
        <v>284.89100000000002</v>
      </c>
      <c r="DM23">
        <f>285.577</f>
        <v>285.577</v>
      </c>
      <c r="DN23">
        <f>286.258</f>
        <v>286.25799999999998</v>
      </c>
      <c r="DO23">
        <f>173.193</f>
        <v>173.19300000000001</v>
      </c>
      <c r="DP23">
        <f>82.441</f>
        <v>82.441000000000003</v>
      </c>
      <c r="DQ23">
        <f>48.149</f>
        <v>48.149000000000001</v>
      </c>
      <c r="DR23">
        <f>48.151</f>
        <v>48.151000000000003</v>
      </c>
      <c r="DS23">
        <f>24.104</f>
        <v>24.103999999999999</v>
      </c>
      <c r="DT23">
        <f>4.61</f>
        <v>4.6100000000000003</v>
      </c>
      <c r="DU23" t="str">
        <f>""</f>
        <v/>
      </c>
    </row>
    <row r="24" spans="1:125" x14ac:dyDescent="0.25">
      <c r="A24" t="str">
        <f>"                Zions Bancorp NA"</f>
        <v xml:space="preserve">                Zions Bancorp NA</v>
      </c>
      <c r="B24" t="str">
        <f>"ZION US Equity"</f>
        <v>ZION US Equity</v>
      </c>
      <c r="C24" t="str">
        <f t="shared" si="0"/>
        <v>FC470</v>
      </c>
      <c r="D24" t="str">
        <f t="shared" si="1"/>
        <v>FDIC_SECS_HELD_TO_MTY_BOOK_VAL</v>
      </c>
      <c r="E24" t="str">
        <f t="shared" si="2"/>
        <v>Dynamic</v>
      </c>
      <c r="F24" t="str">
        <f ca="1">IF(AND(ISNUMBER($F$166),$B$145=1),$F$166,HLOOKUP(INDIRECT(ADDRESS(2,COLUMN())),OFFSET($BN$2,0,0,ROW()-1,60),ROW()-1,FALSE))</f>
        <v/>
      </c>
      <c r="G24" t="str">
        <f ca="1">IF(AND(ISNUMBER($G$166),$B$145=1),$G$166,HLOOKUP(INDIRECT(ADDRESS(2,COLUMN())),OFFSET($BN$2,0,0,ROW()-1,60),ROW()-1,FALSE))</f>
        <v/>
      </c>
      <c r="H24">
        <f ca="1">IF(AND(ISNUMBER($H$166),$B$145=1),$H$166,HLOOKUP(INDIRECT(ADDRESS(2,COLUMN())),OFFSET($BN$2,0,0,ROW()-1,60),ROW()-1,FALSE))</f>
        <v>10065.456</v>
      </c>
      <c r="I24">
        <f ca="1">IF(AND(ISNUMBER($I$166),$B$145=1),$I$166,HLOOKUP(INDIRECT(ADDRESS(2,COLUMN())),OFFSET($BN$2,0,0,ROW()-1,60),ROW()-1,FALSE))</f>
        <v>10209.26</v>
      </c>
      <c r="J24">
        <f ca="1">IF(AND(ISNUMBER($J$166),$B$145=1),$J$166,HLOOKUP(INDIRECT(ADDRESS(2,COLUMN())),OFFSET($BN$2,0,0,ROW()-1,60),ROW()-1,FALSE))</f>
        <v>10381.858</v>
      </c>
      <c r="K24">
        <f ca="1">IF(AND(ISNUMBER($K$166),$B$145=1),$K$166,HLOOKUP(INDIRECT(ADDRESS(2,COLUMN())),OFFSET($BN$2,0,0,ROW()-1,60),ROW()-1,FALSE))</f>
        <v>10559.152</v>
      </c>
      <c r="L24">
        <f ca="1">IF(AND(ISNUMBER($L$166),$B$145=1),$L$166,HLOOKUP(INDIRECT(ADDRESS(2,COLUMN())),OFFSET($BN$2,0,0,ROW()-1,60),ROW()-1,FALSE))</f>
        <v>10753.477999999999</v>
      </c>
      <c r="M24">
        <f ca="1">IF(AND(ISNUMBER($M$166),$B$145=1),$M$166,HLOOKUP(INDIRECT(ADDRESS(2,COLUMN())),OFFSET($BN$2,0,0,ROW()-1,60),ROW()-1,FALSE))</f>
        <v>10961.092000000001</v>
      </c>
      <c r="N24">
        <f ca="1">IF(AND(ISNUMBER($N$166),$B$145=1),$N$166,HLOOKUP(INDIRECT(ADDRESS(2,COLUMN())),OFFSET($BN$2,0,0,ROW()-1,60),ROW()-1,FALSE))</f>
        <v>11125.459000000001</v>
      </c>
      <c r="O24">
        <f ca="1">IF(AND(ISNUMBER($O$166),$B$145=1),$O$166,HLOOKUP(INDIRECT(ADDRESS(2,COLUMN())),OFFSET($BN$2,0,0,ROW()-1,60),ROW()-1,FALSE))</f>
        <v>423.28199999999998</v>
      </c>
      <c r="P24">
        <f ca="1">IF(AND(ISNUMBER($P$166),$B$145=1),$P$166,HLOOKUP(INDIRECT(ADDRESS(2,COLUMN())),OFFSET($BN$2,0,0,ROW()-1,60),ROW()-1,FALSE))</f>
        <v>613.92899999999997</v>
      </c>
      <c r="Q24">
        <f ca="1">IF(AND(ISNUMBER($Q$166),$B$145=1),$Q$166,HLOOKUP(INDIRECT(ADDRESS(2,COLUMN())),OFFSET($BN$2,0,0,ROW()-1,60),ROW()-1,FALSE))</f>
        <v>438.55200000000002</v>
      </c>
      <c r="R24">
        <f ca="1">IF(AND(ISNUMBER($R$166),$B$145=1),$R$166,HLOOKUP(INDIRECT(ADDRESS(2,COLUMN())),OFFSET($BN$2,0,0,ROW()-1,60),ROW()-1,FALSE))</f>
        <v>441.3</v>
      </c>
      <c r="S24">
        <f ca="1">IF(AND(ISNUMBER($S$166),$B$145=1),$S$166,HLOOKUP(INDIRECT(ADDRESS(2,COLUMN())),OFFSET($BN$2,0,0,ROW()-1,60),ROW()-1,FALSE))</f>
        <v>458.87799999999999</v>
      </c>
      <c r="T24">
        <f ca="1">IF(AND(ISNUMBER($T$166),$B$145=1),$T$166,HLOOKUP(INDIRECT(ADDRESS(2,COLUMN())),OFFSET($BN$2,0,0,ROW()-1,60),ROW()-1,FALSE))</f>
        <v>620.16300000000001</v>
      </c>
      <c r="U24">
        <f ca="1">IF(AND(ISNUMBER($U$166),$B$145=1),$U$166,HLOOKUP(INDIRECT(ADDRESS(2,COLUMN())),OFFSET($BN$2,0,0,ROW()-1,60),ROW()-1,FALSE))</f>
        <v>583.20000000000005</v>
      </c>
      <c r="V24" t="str">
        <f ca="1">IF(AND(ISNUMBER($V$166),$B$145=1),$V$166,HLOOKUP(INDIRECT(ADDRESS(2,COLUMN())),OFFSET($BN$2,0,0,ROW()-1,60),ROW()-1,FALSE))</f>
        <v/>
      </c>
      <c r="W24" t="str">
        <f ca="1">IF(AND(ISNUMBER($W$166),$B$145=1),$W$166,HLOOKUP(INDIRECT(ADDRESS(2,COLUMN())),OFFSET($BN$2,0,0,ROW()-1,60),ROW()-1,FALSE))</f>
        <v/>
      </c>
      <c r="X24" t="str">
        <f ca="1">IF(AND(ISNUMBER($X$166),$B$145=1),$X$166,HLOOKUP(INDIRECT(ADDRESS(2,COLUMN())),OFFSET($BN$2,0,0,ROW()-1,60),ROW()-1,FALSE))</f>
        <v/>
      </c>
      <c r="Y24" t="str">
        <f ca="1">IF(AND(ISNUMBER($Y$166),$B$145=1),$Y$166,HLOOKUP(INDIRECT(ADDRESS(2,COLUMN())),OFFSET($BN$2,0,0,ROW()-1,60),ROW()-1,FALSE))</f>
        <v/>
      </c>
      <c r="Z24" t="str">
        <f ca="1">IF(AND(ISNUMBER($Z$166),$B$145=1),$Z$166,HLOOKUP(INDIRECT(ADDRESS(2,COLUMN())),OFFSET($BN$2,0,0,ROW()-1,60),ROW()-1,FALSE))</f>
        <v/>
      </c>
      <c r="AA24" t="str">
        <f ca="1">IF(AND(ISNUMBER($AA$166),$B$145=1),$AA$166,HLOOKUP(INDIRECT(ADDRESS(2,COLUMN())),OFFSET($BN$2,0,0,ROW()-1,60),ROW()-1,FALSE))</f>
        <v/>
      </c>
      <c r="AB24" t="str">
        <f ca="1">IF(AND(ISNUMBER($AB$166),$B$145=1),$AB$166,HLOOKUP(INDIRECT(ADDRESS(2,COLUMN())),OFFSET($BN$2,0,0,ROW()-1,60),ROW()-1,FALSE))</f>
        <v/>
      </c>
      <c r="AC24" t="str">
        <f ca="1">IF(AND(ISNUMBER($AC$166),$B$145=1),$AC$166,HLOOKUP(INDIRECT(ADDRESS(2,COLUMN())),OFFSET($BN$2,0,0,ROW()-1,60),ROW()-1,FALSE))</f>
        <v/>
      </c>
      <c r="AD24" t="str">
        <f ca="1">IF(AND(ISNUMBER($AD$166),$B$145=1),$AD$166,HLOOKUP(INDIRECT(ADDRESS(2,COLUMN())),OFFSET($BN$2,0,0,ROW()-1,60),ROW()-1,FALSE))</f>
        <v/>
      </c>
      <c r="AE24" t="str">
        <f ca="1">IF(AND(ISNUMBER($AE$166),$B$145=1),$AE$166,HLOOKUP(INDIRECT(ADDRESS(2,COLUMN())),OFFSET($BN$2,0,0,ROW()-1,60),ROW()-1,FALSE))</f>
        <v/>
      </c>
      <c r="AF24" t="str">
        <f ca="1">IF(AND(ISNUMBER($AF$166),$B$145=1),$AF$166,HLOOKUP(INDIRECT(ADDRESS(2,COLUMN())),OFFSET($BN$2,0,0,ROW()-1,60),ROW()-1,FALSE))</f>
        <v/>
      </c>
      <c r="AG24" t="str">
        <f ca="1">IF(AND(ISNUMBER($AG$166),$B$145=1),$AG$166,HLOOKUP(INDIRECT(ADDRESS(2,COLUMN())),OFFSET($BN$2,0,0,ROW()-1,60),ROW()-1,FALSE))</f>
        <v/>
      </c>
      <c r="AH24" t="str">
        <f ca="1">IF(AND(ISNUMBER($AH$166),$B$145=1),$AH$166,HLOOKUP(INDIRECT(ADDRESS(2,COLUMN())),OFFSET($BN$2,0,0,ROW()-1,60),ROW()-1,FALSE))</f>
        <v/>
      </c>
      <c r="AI24" t="str">
        <f ca="1">IF(AND(ISNUMBER($AI$166),$B$145=1),$AI$166,HLOOKUP(INDIRECT(ADDRESS(2,COLUMN())),OFFSET($BN$2,0,0,ROW()-1,60),ROW()-1,FALSE))</f>
        <v/>
      </c>
      <c r="AJ24" t="str">
        <f ca="1">IF(AND(ISNUMBER($AJ$166),$B$145=1),$AJ$166,HLOOKUP(INDIRECT(ADDRESS(2,COLUMN())),OFFSET($BN$2,0,0,ROW()-1,60),ROW()-1,FALSE))</f>
        <v/>
      </c>
      <c r="AK24" t="str">
        <f ca="1">IF(AND(ISNUMBER($AK$166),$B$145=1),$AK$166,HLOOKUP(INDIRECT(ADDRESS(2,COLUMN())),OFFSET($BN$2,0,0,ROW()-1,60),ROW()-1,FALSE))</f>
        <v/>
      </c>
      <c r="AL24" t="str">
        <f ca="1">IF(AND(ISNUMBER($AL$166),$B$145=1),$AL$166,HLOOKUP(INDIRECT(ADDRESS(2,COLUMN())),OFFSET($BN$2,0,0,ROW()-1,60),ROW()-1,FALSE))</f>
        <v/>
      </c>
      <c r="AM24" t="str">
        <f ca="1">IF(AND(ISNUMBER($AM$166),$B$145=1),$AM$166,HLOOKUP(INDIRECT(ADDRESS(2,COLUMN())),OFFSET($BN$2,0,0,ROW()-1,60),ROW()-1,FALSE))</f>
        <v/>
      </c>
      <c r="AN24" t="str">
        <f ca="1">IF(AND(ISNUMBER($AN$166),$B$145=1),$AN$166,HLOOKUP(INDIRECT(ADDRESS(2,COLUMN())),OFFSET($BN$2,0,0,ROW()-1,60),ROW()-1,FALSE))</f>
        <v/>
      </c>
      <c r="AO24" t="str">
        <f ca="1">IF(AND(ISNUMBER($AO$166),$B$145=1),$AO$166,HLOOKUP(INDIRECT(ADDRESS(2,COLUMN())),OFFSET($BN$2,0,0,ROW()-1,60),ROW()-1,FALSE))</f>
        <v/>
      </c>
      <c r="AP24" t="str">
        <f ca="1">IF(AND(ISNUMBER($AP$166),$B$145=1),$AP$166,HLOOKUP(INDIRECT(ADDRESS(2,COLUMN())),OFFSET($BN$2,0,0,ROW()-1,60),ROW()-1,FALSE))</f>
        <v/>
      </c>
      <c r="AQ24" t="str">
        <f ca="1">IF(AND(ISNUMBER($AQ$166),$B$145=1),$AQ$166,HLOOKUP(INDIRECT(ADDRESS(2,COLUMN())),OFFSET($BN$2,0,0,ROW()-1,60),ROW()-1,FALSE))</f>
        <v/>
      </c>
      <c r="AR24" t="str">
        <f ca="1">IF(AND(ISNUMBER($AR$166),$B$145=1),$AR$166,HLOOKUP(INDIRECT(ADDRESS(2,COLUMN())),OFFSET($BN$2,0,0,ROW()-1,60),ROW()-1,FALSE))</f>
        <v/>
      </c>
      <c r="AS24" t="str">
        <f ca="1">IF(AND(ISNUMBER($AS$166),$B$145=1),$AS$166,HLOOKUP(INDIRECT(ADDRESS(2,COLUMN())),OFFSET($BN$2,0,0,ROW()-1,60),ROW()-1,FALSE))</f>
        <v/>
      </c>
      <c r="AT24" t="str">
        <f ca="1">IF(AND(ISNUMBER($AT$166),$B$145=1),$AT$166,HLOOKUP(INDIRECT(ADDRESS(2,COLUMN())),OFFSET($BN$2,0,0,ROW()-1,60),ROW()-1,FALSE))</f>
        <v/>
      </c>
      <c r="AU24" t="str">
        <f ca="1">IF(AND(ISNUMBER($AU$166),$B$145=1),$AU$166,HLOOKUP(INDIRECT(ADDRESS(2,COLUMN())),OFFSET($BN$2,0,0,ROW()-1,60),ROW()-1,FALSE))</f>
        <v/>
      </c>
      <c r="AV24" t="str">
        <f ca="1">IF(AND(ISNUMBER($AV$166),$B$145=1),$AV$166,HLOOKUP(INDIRECT(ADDRESS(2,COLUMN())),OFFSET($BN$2,0,0,ROW()-1,60),ROW()-1,FALSE))</f>
        <v/>
      </c>
      <c r="AW24" t="str">
        <f ca="1">IF(AND(ISNUMBER($AW$166),$B$145=1),$AW$166,HLOOKUP(INDIRECT(ADDRESS(2,COLUMN())),OFFSET($BN$2,0,0,ROW()-1,60),ROW()-1,FALSE))</f>
        <v/>
      </c>
      <c r="AX24" t="str">
        <f ca="1">IF(AND(ISNUMBER($AX$166),$B$145=1),$AX$166,HLOOKUP(INDIRECT(ADDRESS(2,COLUMN())),OFFSET($BN$2,0,0,ROW()-1,60),ROW()-1,FALSE))</f>
        <v/>
      </c>
      <c r="AY24" t="str">
        <f ca="1">IF(AND(ISNUMBER($AY$166),$B$145=1),$AY$166,HLOOKUP(INDIRECT(ADDRESS(2,COLUMN())),OFFSET($BN$2,0,0,ROW()-1,60),ROW()-1,FALSE))</f>
        <v/>
      </c>
      <c r="AZ24" t="str">
        <f ca="1">IF(AND(ISNUMBER($AZ$166),$B$145=1),$AZ$166,HLOOKUP(INDIRECT(ADDRESS(2,COLUMN())),OFFSET($BN$2,0,0,ROW()-1,60),ROW()-1,FALSE))</f>
        <v/>
      </c>
      <c r="BA24" t="str">
        <f ca="1">IF(AND(ISNUMBER($BA$166),$B$145=1),$BA$166,HLOOKUP(INDIRECT(ADDRESS(2,COLUMN())),OFFSET($BN$2,0,0,ROW()-1,60),ROW()-1,FALSE))</f>
        <v/>
      </c>
      <c r="BB24" t="str">
        <f ca="1">IF(AND(ISNUMBER($BB$166),$B$145=1),$BB$166,HLOOKUP(INDIRECT(ADDRESS(2,COLUMN())),OFFSET($BN$2,0,0,ROW()-1,60),ROW()-1,FALSE))</f>
        <v/>
      </c>
      <c r="BC24" t="str">
        <f ca="1">IF(AND(ISNUMBER($BC$166),$B$145=1),$BC$166,HLOOKUP(INDIRECT(ADDRESS(2,COLUMN())),OFFSET($BN$2,0,0,ROW()-1,60),ROW()-1,FALSE))</f>
        <v/>
      </c>
      <c r="BD24" t="str">
        <f ca="1">IF(AND(ISNUMBER($BD$166),$B$145=1),$BD$166,HLOOKUP(INDIRECT(ADDRESS(2,COLUMN())),OFFSET($BN$2,0,0,ROW()-1,60),ROW()-1,FALSE))</f>
        <v/>
      </c>
      <c r="BE24" t="str">
        <f ca="1">IF(AND(ISNUMBER($BE$166),$B$145=1),$BE$166,HLOOKUP(INDIRECT(ADDRESS(2,COLUMN())),OFFSET($BN$2,0,0,ROW()-1,60),ROW()-1,FALSE))</f>
        <v/>
      </c>
      <c r="BF24" t="str">
        <f ca="1">IF(AND(ISNUMBER($BF$166),$B$145=1),$BF$166,HLOOKUP(INDIRECT(ADDRESS(2,COLUMN())),OFFSET($BN$2,0,0,ROW()-1,60),ROW()-1,FALSE))</f>
        <v/>
      </c>
      <c r="BG24" t="str">
        <f ca="1">IF(AND(ISNUMBER($BG$166),$B$145=1),$BG$166,HLOOKUP(INDIRECT(ADDRESS(2,COLUMN())),OFFSET($BN$2,0,0,ROW()-1,60),ROW()-1,FALSE))</f>
        <v/>
      </c>
      <c r="BH24" t="str">
        <f ca="1">IF(AND(ISNUMBER($BH$166),$B$145=1),$BH$166,HLOOKUP(INDIRECT(ADDRESS(2,COLUMN())),OFFSET($BN$2,0,0,ROW()-1,60),ROW()-1,FALSE))</f>
        <v/>
      </c>
      <c r="BI24" t="str">
        <f ca="1">IF(AND(ISNUMBER($BI$166),$B$145=1),$BI$166,HLOOKUP(INDIRECT(ADDRESS(2,COLUMN())),OFFSET($BN$2,0,0,ROW()-1,60),ROW()-1,FALSE))</f>
        <v/>
      </c>
      <c r="BJ24" t="str">
        <f ca="1">IF(AND(ISNUMBER($BJ$166),$B$145=1),$BJ$166,HLOOKUP(INDIRECT(ADDRESS(2,COLUMN())),OFFSET($BN$2,0,0,ROW()-1,60),ROW()-1,FALSE))</f>
        <v/>
      </c>
      <c r="BK24" t="str">
        <f ca="1">IF(AND(ISNUMBER($BK$166),$B$145=1),$BK$166,HLOOKUP(INDIRECT(ADDRESS(2,COLUMN())),OFFSET($BN$2,0,0,ROW()-1,60),ROW()-1,FALSE))</f>
        <v/>
      </c>
      <c r="BL24" t="str">
        <f ca="1">IF(AND(ISNUMBER($BL$166),$B$145=1),$BL$166,HLOOKUP(INDIRECT(ADDRESS(2,COLUMN())),OFFSET($BN$2,0,0,ROW()-1,60),ROW()-1,FALSE))</f>
        <v/>
      </c>
      <c r="BM24" t="str">
        <f ca="1">IF(AND(ISNUMBER($BM$166),$B$145=1),$BM$166,HLOOKUP(INDIRECT(ADDRESS(2,COLUMN())),OFFSET($BN$2,0,0,ROW()-1,60),ROW()-1,FALSE))</f>
        <v/>
      </c>
      <c r="BN24" t="str">
        <f>""</f>
        <v/>
      </c>
      <c r="BO24" t="str">
        <f>""</f>
        <v/>
      </c>
      <c r="BP24">
        <f>10065.456</f>
        <v>10065.456</v>
      </c>
      <c r="BQ24">
        <f>10209.26</f>
        <v>10209.26</v>
      </c>
      <c r="BR24">
        <f>10381.858</f>
        <v>10381.858</v>
      </c>
      <c r="BS24">
        <f>10559.152</f>
        <v>10559.152</v>
      </c>
      <c r="BT24">
        <f>10753.478</f>
        <v>10753.477999999999</v>
      </c>
      <c r="BU24">
        <f>10961.092</f>
        <v>10961.092000000001</v>
      </c>
      <c r="BV24">
        <f>11125.459</f>
        <v>11125.459000000001</v>
      </c>
      <c r="BW24">
        <f>423.282</f>
        <v>423.28199999999998</v>
      </c>
      <c r="BX24">
        <f>613.929</f>
        <v>613.92899999999997</v>
      </c>
      <c r="BY24">
        <f>438.552</f>
        <v>438.55200000000002</v>
      </c>
      <c r="BZ24">
        <f>441.3</f>
        <v>441.3</v>
      </c>
      <c r="CA24">
        <f>458.878</f>
        <v>458.87799999999999</v>
      </c>
      <c r="CB24">
        <f>620.163</f>
        <v>620.16300000000001</v>
      </c>
      <c r="CC24">
        <f>583.2</f>
        <v>583.20000000000005</v>
      </c>
      <c r="CD24" t="str">
        <f>""</f>
        <v/>
      </c>
      <c r="CE24" t="str">
        <f>""</f>
        <v/>
      </c>
      <c r="CF24" t="str">
        <f>""</f>
        <v/>
      </c>
      <c r="CG24" t="str">
        <f>""</f>
        <v/>
      </c>
      <c r="CH24" t="str">
        <f>""</f>
        <v/>
      </c>
      <c r="CI24" t="str">
        <f>""</f>
        <v/>
      </c>
      <c r="CJ24" t="str">
        <f>""</f>
        <v/>
      </c>
      <c r="CK24" t="str">
        <f>""</f>
        <v/>
      </c>
      <c r="CL24" t="str">
        <f>""</f>
        <v/>
      </c>
      <c r="CM24" t="str">
        <f>""</f>
        <v/>
      </c>
      <c r="CN24" t="str">
        <f>""</f>
        <v/>
      </c>
      <c r="CO24" t="str">
        <f>""</f>
        <v/>
      </c>
      <c r="CP24" t="str">
        <f>""</f>
        <v/>
      </c>
      <c r="CQ24" t="str">
        <f>""</f>
        <v/>
      </c>
      <c r="CR24" t="str">
        <f>""</f>
        <v/>
      </c>
      <c r="CS24" t="str">
        <f>""</f>
        <v/>
      </c>
      <c r="CT24" t="str">
        <f>""</f>
        <v/>
      </c>
      <c r="CU24" t="str">
        <f>""</f>
        <v/>
      </c>
      <c r="CV24" t="str">
        <f>""</f>
        <v/>
      </c>
      <c r="CW24" t="str">
        <f>""</f>
        <v/>
      </c>
      <c r="CX24" t="str">
        <f>""</f>
        <v/>
      </c>
      <c r="CY24" t="str">
        <f>""</f>
        <v/>
      </c>
      <c r="CZ24" t="str">
        <f>""</f>
        <v/>
      </c>
      <c r="DA24" t="str">
        <f>""</f>
        <v/>
      </c>
      <c r="DB24" t="str">
        <f>""</f>
        <v/>
      </c>
      <c r="DC24" t="str">
        <f>""</f>
        <v/>
      </c>
      <c r="DD24" t="str">
        <f>""</f>
        <v/>
      </c>
      <c r="DE24" t="str">
        <f>""</f>
        <v/>
      </c>
      <c r="DF24" t="str">
        <f>""</f>
        <v/>
      </c>
      <c r="DG24" t="str">
        <f>""</f>
        <v/>
      </c>
      <c r="DH24" t="str">
        <f>""</f>
        <v/>
      </c>
      <c r="DI24" t="str">
        <f>""</f>
        <v/>
      </c>
      <c r="DJ24" t="str">
        <f>""</f>
        <v/>
      </c>
      <c r="DK24" t="str">
        <f>""</f>
        <v/>
      </c>
      <c r="DL24" t="str">
        <f>""</f>
        <v/>
      </c>
      <c r="DM24" t="str">
        <f>""</f>
        <v/>
      </c>
      <c r="DN24" t="str">
        <f>""</f>
        <v/>
      </c>
      <c r="DO24" t="str">
        <f>""</f>
        <v/>
      </c>
      <c r="DP24" t="str">
        <f>""</f>
        <v/>
      </c>
      <c r="DQ24" t="str">
        <f>""</f>
        <v/>
      </c>
      <c r="DR24" t="str">
        <f>""</f>
        <v/>
      </c>
      <c r="DS24" t="str">
        <f>""</f>
        <v/>
      </c>
      <c r="DT24" t="str">
        <f>""</f>
        <v/>
      </c>
      <c r="DU24" t="str">
        <f>""</f>
        <v/>
      </c>
    </row>
    <row r="25" spans="1:125" x14ac:dyDescent="0.25">
      <c r="A25" t="str">
        <f>"            Available-for-sale Securities"</f>
        <v xml:space="preserve">            Available-for-sale Securities</v>
      </c>
      <c r="B25" t="str">
        <f>""</f>
        <v/>
      </c>
      <c r="E25" t="str">
        <f>"Sum"</f>
        <v>Sum</v>
      </c>
      <c r="F25">
        <f ca="1">IF(ISERROR(IF(SUM($F$26:$F$45) = 0, "", SUM($F$26:$F$45))), "", (IF(SUM($F$26:$F$45) = 0, "", SUM($F$26:$F$45))))</f>
        <v>1599549.58</v>
      </c>
      <c r="G25">
        <f ca="1">IF(ISERROR(IF(SUM($G$26:$G$45) = 0, "", SUM($G$26:$G$45))), "", (IF(SUM($G$26:$G$45) = 0, "", SUM($G$26:$G$45))))</f>
        <v>1580143.6810000001</v>
      </c>
      <c r="H25">
        <f ca="1">IF(ISERROR(IF(SUM($H$26:$H$45) = 0, "", SUM($H$26:$H$45))), "", (IF(SUM($H$26:$H$45) = 0, "", SUM($H$26:$H$45))))</f>
        <v>1481359.5240000002</v>
      </c>
      <c r="I25">
        <f ca="1">IF(ISERROR(IF(SUM($I$26:$I$45) = 0, "", SUM($I$26:$I$45))), "", (IF(SUM($I$26:$I$45) = 0, "", SUM($I$26:$I$45))))</f>
        <v>1452398.3130000003</v>
      </c>
      <c r="J25">
        <f ca="1">IF(ISERROR(IF(SUM($J$26:$J$45) = 0, "", SUM($J$26:$J$45))), "", (IF(SUM($J$26:$J$45) = 0, "", SUM($J$26:$J$45))))</f>
        <v>1361085.9409999999</v>
      </c>
      <c r="K25">
        <f ca="1">IF(ISERROR(IF(SUM($K$26:$K$45) = 0, "", SUM($K$26:$K$45))), "", (IF(SUM($K$26:$K$45) = 0, "", SUM($K$26:$K$45))))</f>
        <v>1206138.5389999999</v>
      </c>
      <c r="L25">
        <f ca="1">IF(ISERROR(IF(SUM($L$26:$L$45) = 0, "", SUM($L$26:$L$45))), "", (IF(SUM($L$26:$L$45) = 0, "", SUM($L$26:$L$45))))</f>
        <v>1194171.6439999999</v>
      </c>
      <c r="M25">
        <f ca="1">IF(ISERROR(IF(SUM($M$26:$M$45) = 0, "", SUM($M$26:$M$45))), "", (IF(SUM($M$26:$M$45) = 0, "", SUM($M$26:$M$45))))</f>
        <v>1238901.5230000003</v>
      </c>
      <c r="N25">
        <f ca="1">IF(ISERROR(IF(SUM($N$26:$N$45) = 0, "", SUM($N$26:$N$45))), "", (IF(SUM($N$26:$N$45) = 0, "", SUM($N$26:$N$45))))</f>
        <v>1289479.29</v>
      </c>
      <c r="O25">
        <f ca="1">IF(ISERROR(IF(SUM($O$26:$O$45) = 0, "", SUM($O$26:$O$45))), "", (IF(SUM($O$26:$O$45) = 0, "", SUM($O$26:$O$45))))</f>
        <v>1268827.2280000001</v>
      </c>
      <c r="P25">
        <f ca="1">IF(ISERROR(IF(SUM($P$26:$P$45) = 0, "", SUM($P$26:$P$45))), "", (IF(SUM($P$26:$P$45) = 0, "", SUM($P$26:$P$45))))</f>
        <v>1417894.3389999999</v>
      </c>
      <c r="Q25">
        <f ca="1">IF(ISERROR(IF(SUM($Q$26:$Q$45) = 0, "", SUM($Q$26:$Q$45))), "", (IF(SUM($Q$26:$Q$45) = 0, "", SUM($Q$26:$Q$45))))</f>
        <v>1691419.5159999998</v>
      </c>
      <c r="R25">
        <f ca="1">IF(ISERROR(IF(SUM($R$26:$R$45) = 0, "", SUM($R$26:$R$45))), "", (IF(SUM($R$26:$R$45) = 0, "", SUM($R$26:$R$45))))</f>
        <v>1823565.0850000002</v>
      </c>
      <c r="S25">
        <f ca="1">IF(ISERROR(IF(SUM($S$26:$S$45) = 0, "", SUM($S$26:$S$45))), "", (IF(SUM($S$26:$S$45) = 0, "", SUM($S$26:$S$45))))</f>
        <v>1753288.953</v>
      </c>
      <c r="T25">
        <f ca="1">IF(ISERROR(IF(SUM($T$26:$T$45) = 0, "", SUM($T$26:$T$45))), "", (IF(SUM($T$26:$T$45) = 0, "", SUM($T$26:$T$45))))</f>
        <v>1739901.6910000003</v>
      </c>
      <c r="U25">
        <f ca="1">IF(ISERROR(IF(SUM($U$26:$U$45) = 0, "", SUM($U$26:$U$45))), "", (IF(SUM($U$26:$U$45) = 0, "", SUM($U$26:$U$45))))</f>
        <v>1833205.6649999998</v>
      </c>
      <c r="V25">
        <f ca="1">IF(ISERROR(IF(SUM($V$26:$V$45) = 0, "", SUM($V$26:$V$45))), "", (IF(SUM($V$26:$V$45) = 0, "", SUM($V$26:$V$45))))</f>
        <v>1792767.7109999999</v>
      </c>
      <c r="W25">
        <f ca="1">IF(ISERROR(IF(SUM($W$26:$W$45) = 0, "", SUM($W$26:$W$45))), "", (IF(SUM($W$26:$W$45) = 0, "", SUM($W$26:$W$45))))</f>
        <v>1765420.5200000003</v>
      </c>
      <c r="X25">
        <f ca="1">IF(ISERROR(IF(SUM($X$26:$X$45) = 0, "", SUM($X$26:$X$45))), "", (IF(SUM($X$26:$X$45) = 0, "", SUM($X$26:$X$45))))</f>
        <v>1794445.5550000002</v>
      </c>
      <c r="Y25">
        <f ca="1">IF(ISERROR(IF(SUM($Y$26:$Y$45) = 0, "", SUM($Y$26:$Y$45))), "", (IF(SUM($Y$26:$Y$45) = 0, "", SUM($Y$26:$Y$45))))</f>
        <v>1693386.8430000003</v>
      </c>
      <c r="Z25">
        <f ca="1">IF(ISERROR(IF(SUM($Z$26:$Z$45) = 0, "", SUM($Z$26:$Z$45))), "", (IF(SUM($Z$26:$Z$45) = 0, "", SUM($Z$26:$Z$45))))</f>
        <v>1634235.3990000002</v>
      </c>
      <c r="AA25">
        <f ca="1">IF(ISERROR(IF(SUM($AA$26:$AA$45) = 0, "", SUM($AA$26:$AA$45))), "", (IF(SUM($AA$26:$AA$45) = 0, "", SUM($AA$26:$AA$45))))</f>
        <v>1521570.102</v>
      </c>
      <c r="AB25">
        <f ca="1">IF(ISERROR(IF(SUM($AB$26:$AB$45) = 0, "", SUM($AB$26:$AB$45))), "", (IF(SUM($AB$26:$AB$45) = 0, "", SUM($AB$26:$AB$45))))</f>
        <v>1407997.98</v>
      </c>
      <c r="AC25">
        <f ca="1">IF(ISERROR(IF(SUM($AC$26:$AC$45) = 0, "", SUM($AC$26:$AC$45))), "", (IF(SUM($AC$26:$AC$45) = 0, "", SUM($AC$26:$AC$45))))</f>
        <v>1364309.1090000002</v>
      </c>
      <c r="AD25">
        <f ca="1">IF(ISERROR(IF(SUM($AD$26:$AD$45) = 0, "", SUM($AD$26:$AD$45))), "", (IF(SUM($AD$26:$AD$45) = 0, "", SUM($AD$26:$AD$45))))</f>
        <v>1359381.6189999997</v>
      </c>
      <c r="AE25">
        <f ca="1">IF(ISERROR(IF(SUM($AE$26:$AE$45) = 0, "", SUM($AE$26:$AE$45))), "", (IF(SUM($AE$26:$AE$45) = 0, "", SUM($AE$26:$AE$45))))</f>
        <v>1323016.983</v>
      </c>
      <c r="AF25">
        <f ca="1">IF(ISERROR(IF(SUM($AF$26:$AF$45) = 0, "", SUM($AF$26:$AF$45))), "", (IF(SUM($AF$26:$AF$45) = 0, "", SUM($AF$26:$AF$45))))</f>
        <v>1358680.081</v>
      </c>
      <c r="AG25">
        <f ca="1">IF(ISERROR(IF(SUM($AG$26:$AG$45) = 0, "", SUM($AG$26:$AG$45))), "", (IF(SUM($AG$26:$AG$45) = 0, "", SUM($AG$26:$AG$45))))</f>
        <v>1403108.2340000002</v>
      </c>
      <c r="AH25">
        <f ca="1">IF(ISERROR(IF(SUM($AH$26:$AH$45) = 0, "", SUM($AH$26:$AH$45))), "", (IF(SUM($AH$26:$AH$45) = 0, "", SUM($AH$26:$AH$45))))</f>
        <v>1410900.7110000004</v>
      </c>
      <c r="AI25">
        <f ca="1">IF(ISERROR(IF(SUM($AI$26:$AI$45) = 0, "", SUM($AI$26:$AI$45))), "", (IF(SUM($AI$26:$AI$45) = 0, "", SUM($AI$26:$AI$45))))</f>
        <v>1420644.5249999999</v>
      </c>
      <c r="AJ25">
        <f ca="1">IF(ISERROR(IF(SUM($AJ$26:$AJ$45) = 0, "", SUM($AJ$26:$AJ$45))), "", (IF(SUM($AJ$26:$AJ$45) = 0, "", SUM($AJ$26:$AJ$45))))</f>
        <v>1420220.9230000002</v>
      </c>
      <c r="AK25">
        <f ca="1">IF(ISERROR(IF(SUM($AK$26:$AK$45) = 0, "", SUM($AK$26:$AK$45))), "", (IF(SUM($AK$26:$AK$45) = 0, "", SUM($AK$26:$AK$45))))</f>
        <v>1460365.0850000002</v>
      </c>
      <c r="AL25">
        <f ca="1">IF(ISERROR(IF(SUM($AL$26:$AL$45) = 0, "", SUM($AL$26:$AL$45))), "", (IF(SUM($AL$26:$AL$45) = 0, "", SUM($AL$26:$AL$45))))</f>
        <v>1483839.8489999999</v>
      </c>
      <c r="AM25">
        <f ca="1">IF(ISERROR(IF(SUM($AM$26:$AM$45) = 0, "", SUM($AM$26:$AM$45))), "", (IF(SUM($AM$26:$AM$45) = 0, "", SUM($AM$26:$AM$45))))</f>
        <v>1469425.8069999998</v>
      </c>
      <c r="AN25">
        <f ca="1">IF(ISERROR(IF(SUM($AN$26:$AN$45) = 0, "", SUM($AN$26:$AN$45))), "", (IF(SUM($AN$26:$AN$45) = 0, "", SUM($AN$26:$AN$45))))</f>
        <v>1410052.5890000002</v>
      </c>
      <c r="AO25">
        <f ca="1">IF(ISERROR(IF(SUM($AO$26:$AO$45) = 0, "", SUM($AO$26:$AO$45))), "", (IF(SUM($AO$26:$AO$45) = 0, "", SUM($AO$26:$AO$45))))</f>
        <v>1409460.3590000002</v>
      </c>
      <c r="AP25">
        <f ca="1">IF(ISERROR(IF(SUM($AP$26:$AP$45) = 0, "", SUM($AP$26:$AP$45))), "", (IF(SUM($AP$26:$AP$45) = 0, "", SUM($AP$26:$AP$45))))</f>
        <v>1425009.3160000001</v>
      </c>
      <c r="AQ25">
        <f ca="1">IF(ISERROR(IF(SUM($AQ$26:$AQ$45) = 0, "", SUM($AQ$26:$AQ$45))), "", (IF(SUM($AQ$26:$AQ$45) = 0, "", SUM($AQ$26:$AQ$45))))</f>
        <v>1427103.632</v>
      </c>
      <c r="AR25">
        <f ca="1">IF(ISERROR(IF(SUM($AR$26:$AR$45) = 0, "", SUM($AR$26:$AR$45))), "", (IF(SUM($AR$26:$AR$45) = 0, "", SUM($AR$26:$AR$45))))</f>
        <v>1409573.9450000001</v>
      </c>
      <c r="AS25">
        <f ca="1">IF(ISERROR(IF(SUM($AS$26:$AS$45) = 0, "", SUM($AS$26:$AS$45))), "", (IF(SUM($AS$26:$AS$45) = 0, "", SUM($AS$26:$AS$45))))</f>
        <v>1411374.0730000003</v>
      </c>
      <c r="AT25">
        <f ca="1">IF(ISERROR(IF(SUM($AT$26:$AT$45) = 0, "", SUM($AT$26:$AT$45))), "", (IF(SUM($AT$26:$AT$45) = 0, "", SUM($AT$26:$AT$45))))</f>
        <v>1416242.013</v>
      </c>
      <c r="AU25">
        <f ca="1">IF(ISERROR(IF(SUM($AU$26:$AU$45) = 0, "", SUM($AU$26:$AU$45))), "", (IF(SUM($AU$26:$AU$45) = 0, "", SUM($AU$26:$AU$45))))</f>
        <v>1401906.3969999999</v>
      </c>
      <c r="AV25">
        <f ca="1">IF(ISERROR(IF(SUM($AV$26:$AV$45) = 0, "", SUM($AV$26:$AV$45))), "", (IF(SUM($AV$26:$AV$45) = 0, "", SUM($AV$26:$AV$45))))</f>
        <v>1372465.3219999999</v>
      </c>
      <c r="AW25">
        <f ca="1">IF(ISERROR(IF(SUM($AW$26:$AW$45) = 0, "", SUM($AW$26:$AW$45))), "", (IF(SUM($AW$26:$AW$45) = 0, "", SUM($AW$26:$AW$45))))</f>
        <v>1358130.5519999999</v>
      </c>
      <c r="AX25">
        <f ca="1">IF(ISERROR(IF(SUM($AX$26:$AX$45) = 0, "", SUM($AX$26:$AX$45))), "", (IF(SUM($AX$26:$AX$45) = 0, "", SUM($AX$26:$AX$45))))</f>
        <v>1357546.1560000002</v>
      </c>
      <c r="AY25">
        <f ca="1">IF(ISERROR(IF(SUM($AY$26:$AY$45) = 0, "", SUM($AY$26:$AY$45))), "", (IF(SUM($AY$26:$AY$45) = 0, "", SUM($AY$26:$AY$45))))</f>
        <v>1379897.75</v>
      </c>
      <c r="AZ25">
        <f ca="1">IF(ISERROR(IF(SUM($AZ$26:$AZ$45) = 0, "", SUM($AZ$26:$AZ$45))), "", (IF(SUM($AZ$26:$AZ$45) = 0, "", SUM($AZ$26:$AZ$45))))</f>
        <v>1393234.7730000003</v>
      </c>
      <c r="BA25">
        <f ca="1">IF(ISERROR(IF(SUM($BA$26:$BA$45) = 0, "", SUM($BA$26:$BA$45))), "", (IF(SUM($BA$26:$BA$45) = 0, "", SUM($BA$26:$BA$45))))</f>
        <v>1440552.831</v>
      </c>
      <c r="BB25">
        <f ca="1">IF(ISERROR(IF(SUM($BB$26:$BB$45) = 0, "", SUM($BB$26:$BB$45))), "", (IF(SUM($BB$26:$BB$45) = 0, "", SUM($BB$26:$BB$45))))</f>
        <v>1467263.1099999999</v>
      </c>
      <c r="BC25">
        <f ca="1">IF(ISERROR(IF(SUM($BC$26:$BC$45) = 0, "", SUM($BC$26:$BC$45))), "", (IF(SUM($BC$26:$BC$45) = 0, "", SUM($BC$26:$BC$45))))</f>
        <v>1457441.5359999998</v>
      </c>
      <c r="BD25">
        <f ca="1">IF(ISERROR(IF(SUM($BD$26:$BD$45) = 0, "", SUM($BD$26:$BD$45))), "", (IF(SUM($BD$26:$BD$45) = 0, "", SUM($BD$26:$BD$45))))</f>
        <v>1441886.7819999997</v>
      </c>
      <c r="BE25">
        <f ca="1">IF(ISERROR(IF(SUM($BE$26:$BE$45) = 0, "", SUM($BE$26:$BE$45))), "", (IF(SUM($BE$26:$BE$45) = 0, "", SUM($BE$26:$BE$45))))</f>
        <v>1484490.047</v>
      </c>
      <c r="BF25">
        <f ca="1">IF(ISERROR(IF(SUM($BF$26:$BF$45) = 0, "", SUM($BF$26:$BF$45))), "", (IF(SUM($BF$26:$BF$45) = 0, "", SUM($BF$26:$BF$45))))</f>
        <v>1408661.848</v>
      </c>
      <c r="BG25">
        <f ca="1">IF(ISERROR(IF(SUM($BG$26:$BG$45) = 0, "", SUM($BG$26:$BG$45))), "", (IF(SUM($BG$26:$BG$45) = 0, "", SUM($BG$26:$BG$45))))</f>
        <v>1408803.4819999998</v>
      </c>
      <c r="BH25">
        <f ca="1">IF(ISERROR(IF(SUM($BH$26:$BH$45) = 0, "", SUM($BH$26:$BH$45))), "", (IF(SUM($BH$26:$BH$45) = 0, "", SUM($BH$26:$BH$45))))</f>
        <v>1402918.4270000004</v>
      </c>
      <c r="BI25">
        <f ca="1">IF(ISERROR(IF(SUM($BI$26:$BI$45) = 0, "", SUM($BI$26:$BI$45))), "", (IF(SUM($BI$26:$BI$45) = 0, "", SUM($BI$26:$BI$45))))</f>
        <v>1422858.7509999999</v>
      </c>
      <c r="BJ25">
        <f ca="1">IF(ISERROR(IF(SUM($BJ$26:$BJ$45) = 0, "", SUM($BJ$26:$BJ$45))), "", (IF(SUM($BJ$26:$BJ$45) = 0, "", SUM($BJ$26:$BJ$45))))</f>
        <v>1404890.5020000001</v>
      </c>
      <c r="BK25">
        <f ca="1">IF(ISERROR(IF(SUM($BK$26:$BK$45) = 0, "", SUM($BK$26:$BK$45))), "", (IF(SUM($BK$26:$BK$45) = 0, "", SUM($BK$26:$BK$45))))</f>
        <v>1433040.4550000001</v>
      </c>
      <c r="BL25">
        <f ca="1">IF(ISERROR(IF(SUM($BL$26:$BL$45) = 0, "", SUM($BL$26:$BL$45))), "", (IF(SUM($BL$26:$BL$45) = 0, "", SUM($BL$26:$BL$45))))</f>
        <v>1327573.398</v>
      </c>
      <c r="BM25">
        <f ca="1">IF(ISERROR(IF(SUM($BM$26:$BM$45) = 0, "", SUM($BM$26:$BM$45))), "", (IF(SUM($BM$26:$BM$45) = 0, "", SUM($BM$26:$BM$45))))</f>
        <v>80142.015000000014</v>
      </c>
      <c r="BN25">
        <f>1599549.58</f>
        <v>1599549.58</v>
      </c>
      <c r="BO25">
        <f>1580143.681</f>
        <v>1580143.6810000001</v>
      </c>
      <c r="BP25">
        <f>1481359.524</f>
        <v>1481359.524</v>
      </c>
      <c r="BQ25">
        <f>1452398.313</f>
        <v>1452398.3130000001</v>
      </c>
      <c r="BR25">
        <f>1361085.941</f>
        <v>1361085.9410000001</v>
      </c>
      <c r="BS25">
        <f>1206138.539</f>
        <v>1206138.5390000001</v>
      </c>
      <c r="BT25">
        <f>1194171.644</f>
        <v>1194171.6440000001</v>
      </c>
      <c r="BU25">
        <f>1238901.523</f>
        <v>1238901.523</v>
      </c>
      <c r="BV25">
        <f>1289479.29</f>
        <v>1289479.29</v>
      </c>
      <c r="BW25">
        <f>1268827.228</f>
        <v>1268827.2279999999</v>
      </c>
      <c r="BX25">
        <f>1417894.339</f>
        <v>1417894.3389999999</v>
      </c>
      <c r="BY25">
        <f>1691419.516</f>
        <v>1691419.5160000001</v>
      </c>
      <c r="BZ25">
        <f>1823565.085</f>
        <v>1823565.085</v>
      </c>
      <c r="CA25">
        <f>1753288.953</f>
        <v>1753288.953</v>
      </c>
      <c r="CB25">
        <f>1739901.691</f>
        <v>1739901.6910000001</v>
      </c>
      <c r="CC25">
        <f>1833205.665</f>
        <v>1833205.665</v>
      </c>
      <c r="CD25">
        <f>1792767.711</f>
        <v>1792767.7109999999</v>
      </c>
      <c r="CE25">
        <f>1765420.52</f>
        <v>1765420.52</v>
      </c>
      <c r="CF25">
        <f>1794445.555</f>
        <v>1794445.5549999999</v>
      </c>
      <c r="CG25">
        <f>1693386.843</f>
        <v>1693386.8430000001</v>
      </c>
      <c r="CH25">
        <f>1634235.399</f>
        <v>1634235.399</v>
      </c>
      <c r="CI25">
        <f>1521570.102</f>
        <v>1521570.102</v>
      </c>
      <c r="CJ25">
        <f>1407997.98</f>
        <v>1407997.98</v>
      </c>
      <c r="CK25">
        <f>1364309.109</f>
        <v>1364309.1089999999</v>
      </c>
      <c r="CL25">
        <f>1359381.619</f>
        <v>1359381.6189999999</v>
      </c>
      <c r="CM25">
        <f>1323016.983</f>
        <v>1323016.983</v>
      </c>
      <c r="CN25">
        <f>1358680.081</f>
        <v>1358680.081</v>
      </c>
      <c r="CO25">
        <f>1403108.234</f>
        <v>1403108.2339999999</v>
      </c>
      <c r="CP25">
        <f>1410900.711</f>
        <v>1410900.7109999999</v>
      </c>
      <c r="CQ25">
        <f>1420644.525</f>
        <v>1420644.5249999999</v>
      </c>
      <c r="CR25">
        <f>1420220.923</f>
        <v>1420220.923</v>
      </c>
      <c r="CS25">
        <f>1460365.085</f>
        <v>1460365.085</v>
      </c>
      <c r="CT25">
        <f>1483839.849</f>
        <v>1483839.8489999999</v>
      </c>
      <c r="CU25">
        <f>1469425.807</f>
        <v>1469425.807</v>
      </c>
      <c r="CV25">
        <f>1410052.589</f>
        <v>1410052.5889999999</v>
      </c>
      <c r="CW25">
        <f>1409460.359</f>
        <v>1409460.3589999999</v>
      </c>
      <c r="CX25">
        <f>1425009.316</f>
        <v>1425009.3160000001</v>
      </c>
      <c r="CY25">
        <f>1427103.632</f>
        <v>1427103.632</v>
      </c>
      <c r="CZ25">
        <f>1409573.945</f>
        <v>1409573.9450000001</v>
      </c>
      <c r="DA25">
        <f>1411374.073</f>
        <v>1411374.0730000001</v>
      </c>
      <c r="DB25">
        <f>1416242.013</f>
        <v>1416242.013</v>
      </c>
      <c r="DC25">
        <f>1401906.397</f>
        <v>1401906.3970000001</v>
      </c>
      <c r="DD25">
        <f>1372465.322</f>
        <v>1372465.3219999999</v>
      </c>
      <c r="DE25">
        <f>1358130.552</f>
        <v>1358130.5519999999</v>
      </c>
      <c r="DF25">
        <f>1357546.156</f>
        <v>1357546.156</v>
      </c>
      <c r="DG25">
        <f>1379897.75</f>
        <v>1379897.75</v>
      </c>
      <c r="DH25">
        <f>1393234.773</f>
        <v>1393234.773</v>
      </c>
      <c r="DI25">
        <f>1440552.831</f>
        <v>1440552.831</v>
      </c>
      <c r="DJ25">
        <f>1467263.11</f>
        <v>1467263.11</v>
      </c>
      <c r="DK25">
        <f>1457441.536</f>
        <v>1457441.5360000001</v>
      </c>
      <c r="DL25">
        <f>1441886.782</f>
        <v>1441886.7819999999</v>
      </c>
      <c r="DM25">
        <f>1484490.047</f>
        <v>1484490.047</v>
      </c>
      <c r="DN25">
        <f>1408661.848</f>
        <v>1408661.848</v>
      </c>
      <c r="DO25">
        <f>1408803.482</f>
        <v>1408803.4820000001</v>
      </c>
      <c r="DP25">
        <f>1402918.427</f>
        <v>1402918.4269999999</v>
      </c>
      <c r="DQ25">
        <f>1422858.751</f>
        <v>1422858.7509999999</v>
      </c>
      <c r="DR25">
        <f>1404890.502</f>
        <v>1404890.5020000001</v>
      </c>
      <c r="DS25">
        <f>1433040.455</f>
        <v>1433040.4550000001</v>
      </c>
      <c r="DT25">
        <f>1327573.398</f>
        <v>1327573.398</v>
      </c>
      <c r="DU25">
        <f>80142.015</f>
        <v>80142.014999999999</v>
      </c>
    </row>
    <row r="26" spans="1:125" x14ac:dyDescent="0.25">
      <c r="A26" t="str">
        <f>"                Bank of America Corp"</f>
        <v xml:space="preserve">                Bank of America Corp</v>
      </c>
      <c r="B26" t="str">
        <f>"BAC US Equity"</f>
        <v>BAC US Equity</v>
      </c>
      <c r="C26" t="str">
        <f t="shared" ref="C26:C45" si="3">"FC471"</f>
        <v>FC471</v>
      </c>
      <c r="D26" t="str">
        <f t="shared" ref="D26:D45" si="4">"FDIC_SECS_AVAIL_FOR_SALE_MKT_VAL"</f>
        <v>FDIC_SECS_AVAIL_FOR_SALE_MKT_VAL</v>
      </c>
      <c r="E26" t="str">
        <f t="shared" ref="E26:E45" si="5">"Dynamic"</f>
        <v>Dynamic</v>
      </c>
      <c r="F26">
        <f ca="1">IF(AND(ISNUMBER($F$167),$B$145=1),$F$167,HLOOKUP(INDIRECT(ADDRESS(2,COLUMN())),OFFSET($BN$2,0,0,ROW()-1,60),ROW()-1,FALSE))</f>
        <v>346432</v>
      </c>
      <c r="G26">
        <f ca="1">IF(AND(ISNUMBER($G$167),$B$145=1),$G$167,HLOOKUP(INDIRECT(ADDRESS(2,COLUMN())),OFFSET($BN$2,0,0,ROW()-1,60),ROW()-1,FALSE))</f>
        <v>315719</v>
      </c>
      <c r="H26">
        <f ca="1">IF(AND(ISNUMBER($H$167),$B$145=1),$H$167,HLOOKUP(INDIRECT(ADDRESS(2,COLUMN())),OFFSET($BN$2,0,0,ROW()-1,60),ROW()-1,FALSE))</f>
        <v>291295</v>
      </c>
      <c r="I26">
        <f ca="1">IF(AND(ISNUMBER($I$167),$B$145=1),$I$167,HLOOKUP(INDIRECT(ADDRESS(2,COLUMN())),OFFSET($BN$2,0,0,ROW()-1,60),ROW()-1,FALSE))</f>
        <v>313072</v>
      </c>
      <c r="J26">
        <f ca="1">IF(AND(ISNUMBER($J$167),$B$145=1),$J$167,HLOOKUP(INDIRECT(ADDRESS(2,COLUMN())),OFFSET($BN$2,0,0,ROW()-1,60),ROW()-1,FALSE))</f>
        <v>266649</v>
      </c>
      <c r="K26">
        <f ca="1">IF(AND(ISNUMBER($K$167),$B$145=1),$K$167,HLOOKUP(INDIRECT(ADDRESS(2,COLUMN())),OFFSET($BN$2,0,0,ROW()-1,60),ROW()-1,FALSE))</f>
        <v>165610</v>
      </c>
      <c r="L26">
        <f ca="1">IF(AND(ISNUMBER($L$167),$B$145=1),$L$167,HLOOKUP(INDIRECT(ADDRESS(2,COLUMN())),OFFSET($BN$2,0,0,ROW()-1,60),ROW()-1,FALSE))</f>
        <v>132005</v>
      </c>
      <c r="M26">
        <f ca="1">IF(AND(ISNUMBER($M$167),$B$145=1),$M$167,HLOOKUP(INDIRECT(ADDRESS(2,COLUMN())),OFFSET($BN$2,0,0,ROW()-1,60),ROW()-1,FALSE))</f>
        <v>162410</v>
      </c>
      <c r="N26">
        <f ca="1">IF(AND(ISNUMBER($N$167),$B$145=1),$N$167,HLOOKUP(INDIRECT(ADDRESS(2,COLUMN())),OFFSET($BN$2,0,0,ROW()-1,60),ROW()-1,FALSE))</f>
        <v>220788</v>
      </c>
      <c r="O26">
        <f ca="1">IF(AND(ISNUMBER($O$167),$B$145=1),$O$167,HLOOKUP(INDIRECT(ADDRESS(2,COLUMN())),OFFSET($BN$2,0,0,ROW()-1,60),ROW()-1,FALSE))</f>
        <v>226340</v>
      </c>
      <c r="P26">
        <f ca="1">IF(AND(ISNUMBER($P$167),$B$145=1),$P$167,HLOOKUP(INDIRECT(ADDRESS(2,COLUMN())),OFFSET($BN$2,0,0,ROW()-1,60),ROW()-1,FALSE))</f>
        <v>266254</v>
      </c>
      <c r="Q26">
        <f ca="1">IF(AND(ISNUMBER($Q$167),$B$145=1),$Q$167,HLOOKUP(INDIRECT(ADDRESS(2,COLUMN())),OFFSET($BN$2,0,0,ROW()-1,60),ROW()-1,FALSE))</f>
        <v>289287</v>
      </c>
      <c r="R26">
        <f ca="1">IF(AND(ISNUMBER($R$167),$B$145=1),$R$167,HLOOKUP(INDIRECT(ADDRESS(2,COLUMN())),OFFSET($BN$2,0,0,ROW()-1,60),ROW()-1,FALSE))</f>
        <v>299178</v>
      </c>
      <c r="S26">
        <f ca="1">IF(AND(ISNUMBER($S$167),$B$145=1),$S$167,HLOOKUP(INDIRECT(ADDRESS(2,COLUMN())),OFFSET($BN$2,0,0,ROW()-1,60),ROW()-1,FALSE))</f>
        <v>275357</v>
      </c>
      <c r="T26">
        <f ca="1">IF(AND(ISNUMBER($T$167),$B$145=1),$T$167,HLOOKUP(INDIRECT(ADDRESS(2,COLUMN())),OFFSET($BN$2,0,0,ROW()-1,60),ROW()-1,FALSE))</f>
        <v>278179</v>
      </c>
      <c r="U26">
        <f ca="1">IF(AND(ISNUMBER($U$167),$B$145=1),$U$167,HLOOKUP(INDIRECT(ADDRESS(2,COLUMN())),OFFSET($BN$2,0,0,ROW()-1,60),ROW()-1,FALSE))</f>
        <v>270614</v>
      </c>
      <c r="V26">
        <f ca="1">IF(AND(ISNUMBER($V$167),$B$145=1),$V$167,HLOOKUP(INDIRECT(ADDRESS(2,COLUMN())),OFFSET($BN$2,0,0,ROW()-1,60),ROW()-1,FALSE))</f>
        <v>234491</v>
      </c>
      <c r="W26">
        <f ca="1">IF(AND(ISNUMBER($W$167),$B$145=1),$W$167,HLOOKUP(INDIRECT(ADDRESS(2,COLUMN())),OFFSET($BN$2,0,0,ROW()-1,60),ROW()-1,FALSE))</f>
        <v>233692</v>
      </c>
      <c r="X26">
        <f ca="1">IF(AND(ISNUMBER($X$167),$B$145=1),$X$167,HLOOKUP(INDIRECT(ADDRESS(2,COLUMN())),OFFSET($BN$2,0,0,ROW()-1,60),ROW()-1,FALSE))</f>
        <v>190432</v>
      </c>
      <c r="Y26">
        <f ca="1">IF(AND(ISNUMBER($Y$167),$B$145=1),$Y$167,HLOOKUP(INDIRECT(ADDRESS(2,COLUMN())),OFFSET($BN$2,0,0,ROW()-1,60),ROW()-1,FALSE))</f>
        <v>206221</v>
      </c>
      <c r="Z26">
        <f ca="1">IF(AND(ISNUMBER($Z$167),$B$145=1),$Z$167,HLOOKUP(INDIRECT(ADDRESS(2,COLUMN())),OFFSET($BN$2,0,0,ROW()-1,60),ROW()-1,FALSE))</f>
        <v>245639</v>
      </c>
      <c r="AA26">
        <f ca="1">IF(AND(ISNUMBER($AA$167),$B$145=1),$AA$167,HLOOKUP(INDIRECT(ADDRESS(2,COLUMN())),OFFSET($BN$2,0,0,ROW()-1,60),ROW()-1,FALSE))</f>
        <v>244872</v>
      </c>
      <c r="AB26">
        <f ca="1">IF(AND(ISNUMBER($AB$167),$B$145=1),$AB$167,HLOOKUP(INDIRECT(ADDRESS(2,COLUMN())),OFFSET($BN$2,0,0,ROW()-1,60),ROW()-1,FALSE))</f>
        <v>235979</v>
      </c>
      <c r="AC26">
        <f ca="1">IF(AND(ISNUMBER($AC$167),$B$145=1),$AC$167,HLOOKUP(INDIRECT(ADDRESS(2,COLUMN())),OFFSET($BN$2,0,0,ROW()-1,60),ROW()-1,FALSE))</f>
        <v>231612</v>
      </c>
      <c r="AD26">
        <f ca="1">IF(AND(ISNUMBER($AD$167),$B$145=1),$AD$167,HLOOKUP(INDIRECT(ADDRESS(2,COLUMN())),OFFSET($BN$2,0,0,ROW()-1,60),ROW()-1,FALSE))</f>
        <v>229366</v>
      </c>
      <c r="AE26">
        <f ca="1">IF(AND(ISNUMBER($AE$167),$B$145=1),$AE$167,HLOOKUP(INDIRECT(ADDRESS(2,COLUMN())),OFFSET($BN$2,0,0,ROW()-1,60),ROW()-1,FALSE))</f>
        <v>239048</v>
      </c>
      <c r="AF26">
        <f ca="1">IF(AND(ISNUMBER($AF$167),$B$145=1),$AF$167,HLOOKUP(INDIRECT(ADDRESS(2,COLUMN())),OFFSET($BN$2,0,0,ROW()-1,60),ROW()-1,FALSE))</f>
        <v>262119</v>
      </c>
      <c r="AG26">
        <f ca="1">IF(AND(ISNUMBER($AG$167),$B$145=1),$AG$167,HLOOKUP(INDIRECT(ADDRESS(2,COLUMN())),OFFSET($BN$2,0,0,ROW()-1,60),ROW()-1,FALSE))</f>
        <v>290360</v>
      </c>
      <c r="AH26">
        <f ca="1">IF(AND(ISNUMBER($AH$167),$B$145=1),$AH$167,HLOOKUP(INDIRECT(ADDRESS(2,COLUMN())),OFFSET($BN$2,0,0,ROW()-1,60),ROW()-1,FALSE))</f>
        <v>304889</v>
      </c>
      <c r="AI26">
        <f ca="1">IF(AND(ISNUMBER($AI$167),$B$145=1),$AI$167,HLOOKUP(INDIRECT(ADDRESS(2,COLUMN())),OFFSET($BN$2,0,0,ROW()-1,60),ROW()-1,FALSE))</f>
        <v>301433</v>
      </c>
      <c r="AJ26">
        <f ca="1">IF(AND(ISNUMBER($AJ$167),$B$145=1),$AJ$167,HLOOKUP(INDIRECT(ADDRESS(2,COLUMN())),OFFSET($BN$2,0,0,ROW()-1,60),ROW()-1,FALSE))</f>
        <v>301187</v>
      </c>
      <c r="AK26">
        <f ca="1">IF(AND(ISNUMBER($AK$167),$B$145=1),$AK$167,HLOOKUP(INDIRECT(ADDRESS(2,COLUMN())),OFFSET($BN$2,0,0,ROW()-1,60),ROW()-1,FALSE))</f>
        <v>297739</v>
      </c>
      <c r="AL26">
        <f ca="1">IF(AND(ISNUMBER($AL$167),$B$145=1),$AL$167,HLOOKUP(INDIRECT(ADDRESS(2,COLUMN())),OFFSET($BN$2,0,0,ROW()-1,60),ROW()-1,FALSE))</f>
        <v>296377</v>
      </c>
      <c r="AM26">
        <f ca="1">IF(AND(ISNUMBER($AM$167),$B$145=1),$AM$167,HLOOKUP(INDIRECT(ADDRESS(2,COLUMN())),OFFSET($BN$2,0,0,ROW()-1,60),ROW()-1,FALSE))</f>
        <v>303029</v>
      </c>
      <c r="AN26">
        <f ca="1">IF(AND(ISNUMBER($AN$167),$B$145=1),$AN$167,HLOOKUP(INDIRECT(ADDRESS(2,COLUMN())),OFFSET($BN$2,0,0,ROW()-1,60),ROW()-1,FALSE))</f>
        <v>290535</v>
      </c>
      <c r="AO26">
        <f ca="1">IF(AND(ISNUMBER($AO$167),$B$145=1),$AO$167,HLOOKUP(INDIRECT(ADDRESS(2,COLUMN())),OFFSET($BN$2,0,0,ROW()-1,60),ROW()-1,FALSE))</f>
        <v>285238</v>
      </c>
      <c r="AP26">
        <f ca="1">IF(AND(ISNUMBER($AP$167),$B$145=1),$AP$167,HLOOKUP(INDIRECT(ADDRESS(2,COLUMN())),OFFSET($BN$2,0,0,ROW()-1,60),ROW()-1,FALSE))</f>
        <v>307135</v>
      </c>
      <c r="AQ26">
        <f ca="1">IF(AND(ISNUMBER($AQ$167),$B$145=1),$AQ$167,HLOOKUP(INDIRECT(ADDRESS(2,COLUMN())),OFFSET($BN$2,0,0,ROW()-1,60),ROW()-1,FALSE))</f>
        <v>299025</v>
      </c>
      <c r="AR26">
        <f ca="1">IF(AND(ISNUMBER($AR$167),$B$145=1),$AR$167,HLOOKUP(INDIRECT(ADDRESS(2,COLUMN())),OFFSET($BN$2,0,0,ROW()-1,60),ROW()-1,FALSE))</f>
        <v>298471</v>
      </c>
      <c r="AS26">
        <f ca="1">IF(AND(ISNUMBER($AS$167),$B$145=1),$AS$167,HLOOKUP(INDIRECT(ADDRESS(2,COLUMN())),OFFSET($BN$2,0,0,ROW()-1,60),ROW()-1,FALSE))</f>
        <v>290124</v>
      </c>
      <c r="AT26">
        <f ca="1">IF(AND(ISNUMBER($AT$167),$B$145=1),$AT$167,HLOOKUP(INDIRECT(ADDRESS(2,COLUMN())),OFFSET($BN$2,0,0,ROW()-1,60),ROW()-1,FALSE))</f>
        <v>286033</v>
      </c>
      <c r="AU26">
        <f ca="1">IF(AND(ISNUMBER($AU$167),$B$145=1),$AU$167,HLOOKUP(INDIRECT(ADDRESS(2,COLUMN())),OFFSET($BN$2,0,0,ROW()-1,60),ROW()-1,FALSE))</f>
        <v>267993</v>
      </c>
      <c r="AV26">
        <f ca="1">IF(AND(ISNUMBER($AV$167),$B$145=1),$AV$167,HLOOKUP(INDIRECT(ADDRESS(2,COLUMN())),OFFSET($BN$2,0,0,ROW()-1,60),ROW()-1,FALSE))</f>
        <v>252539</v>
      </c>
      <c r="AW26">
        <f ca="1">IF(AND(ISNUMBER($AW$167),$B$145=1),$AW$167,HLOOKUP(INDIRECT(ADDRESS(2,COLUMN())),OFFSET($BN$2,0,0,ROW()-1,60),ROW()-1,FALSE))</f>
        <v>252412</v>
      </c>
      <c r="AX26">
        <f ca="1">IF(AND(ISNUMBER($AX$167),$B$145=1),$AX$167,HLOOKUP(INDIRECT(ADDRESS(2,COLUMN())),OFFSET($BN$2,0,0,ROW()-1,60),ROW()-1,FALSE))</f>
        <v>238253</v>
      </c>
      <c r="AY26">
        <f ca="1">IF(AND(ISNUMBER($AY$167),$B$145=1),$AY$167,HLOOKUP(INDIRECT(ADDRESS(2,COLUMN())),OFFSET($BN$2,0,0,ROW()-1,60),ROW()-1,FALSE))</f>
        <v>237464</v>
      </c>
      <c r="AZ26">
        <f ca="1">IF(AND(ISNUMBER($AZ$167),$B$145=1),$AZ$167,HLOOKUP(INDIRECT(ADDRESS(2,COLUMN())),OFFSET($BN$2,0,0,ROW()-1,60),ROW()-1,FALSE))</f>
        <v>243227</v>
      </c>
      <c r="BA26">
        <f ca="1">IF(AND(ISNUMBER($BA$167),$B$145=1),$BA$167,HLOOKUP(INDIRECT(ADDRESS(2,COLUMN())),OFFSET($BN$2,0,0,ROW()-1,60),ROW()-1,FALSE))</f>
        <v>266295</v>
      </c>
      <c r="BB26">
        <f ca="1">IF(AND(ISNUMBER($BB$167),$B$145=1),$BB$167,HLOOKUP(INDIRECT(ADDRESS(2,COLUMN())),OFFSET($BN$2,0,0,ROW()-1,60),ROW()-1,FALSE))</f>
        <v>291630.375</v>
      </c>
      <c r="BC26">
        <f ca="1">IF(AND(ISNUMBER($BC$167),$B$145=1),$BC$167,HLOOKUP(INDIRECT(ADDRESS(2,COLUMN())),OFFSET($BN$2,0,0,ROW()-1,60),ROW()-1,FALSE))</f>
        <v>311269.13199999998</v>
      </c>
      <c r="BD26">
        <f ca="1">IF(AND(ISNUMBER($BD$167),$B$145=1),$BD$167,HLOOKUP(INDIRECT(ADDRESS(2,COLUMN())),OFFSET($BN$2,0,0,ROW()-1,60),ROW()-1,FALSE))</f>
        <v>305267.08199999999</v>
      </c>
      <c r="BE26">
        <f ca="1">IF(AND(ISNUMBER($BE$167),$B$145=1),$BE$167,HLOOKUP(INDIRECT(ADDRESS(2,COLUMN())),OFFSET($BN$2,0,0,ROW()-1,60),ROW()-1,FALSE))</f>
        <v>302138.55300000001</v>
      </c>
      <c r="BF26">
        <f ca="1">IF(AND(ISNUMBER($BF$167),$B$145=1),$BF$167,HLOOKUP(INDIRECT(ADDRESS(2,COLUMN())),OFFSET($BN$2,0,0,ROW()-1,60),ROW()-1,FALSE))</f>
        <v>287897.79100000003</v>
      </c>
      <c r="BG26">
        <f ca="1">IF(AND(ISNUMBER($BG$167),$B$145=1),$BG$167,HLOOKUP(INDIRECT(ADDRESS(2,COLUMN())),OFFSET($BN$2,0,0,ROW()-1,60),ROW()-1,FALSE))</f>
        <v>333442.88900000002</v>
      </c>
      <c r="BH26">
        <f ca="1">IF(AND(ISNUMBER($BH$167),$B$145=1),$BH$167,HLOOKUP(INDIRECT(ADDRESS(2,COLUMN())),OFFSET($BN$2,0,0,ROW()-1,60),ROW()-1,FALSE))</f>
        <v>351282.41700000002</v>
      </c>
      <c r="BI26">
        <f ca="1">IF(AND(ISNUMBER($BI$167),$B$145=1),$BI$167,HLOOKUP(INDIRECT(ADDRESS(2,COLUMN())),OFFSET($BN$2,0,0,ROW()-1,60),ROW()-1,FALSE))</f>
        <v>352369.65899999999</v>
      </c>
      <c r="BJ26">
        <f ca="1">IF(AND(ISNUMBER($BJ$167),$B$145=1),$BJ$167,HLOOKUP(INDIRECT(ADDRESS(2,COLUMN())),OFFSET($BN$2,0,0,ROW()-1,60),ROW()-1,FALSE))</f>
        <v>360388.98599999998</v>
      </c>
      <c r="BK26">
        <f ca="1">IF(AND(ISNUMBER($BK$167),$B$145=1),$BK$167,HLOOKUP(INDIRECT(ADDRESS(2,COLUMN())),OFFSET($BN$2,0,0,ROW()-1,60),ROW()-1,FALSE))</f>
        <v>344804.35</v>
      </c>
      <c r="BL26">
        <f ca="1">IF(AND(ISNUMBER($BL$167),$B$145=1),$BL$167,HLOOKUP(INDIRECT(ADDRESS(2,COLUMN())),OFFSET($BN$2,0,0,ROW()-1,60),ROW()-1,FALSE))</f>
        <v>319256.326</v>
      </c>
      <c r="BM26" t="str">
        <f ca="1">IF(AND(ISNUMBER($BM$167),$B$145=1),$BM$167,HLOOKUP(INDIRECT(ADDRESS(2,COLUMN())),OFFSET($BN$2,0,0,ROW()-1,60),ROW()-1,FALSE))</f>
        <v/>
      </c>
      <c r="BN26">
        <f>346432</f>
        <v>346432</v>
      </c>
      <c r="BO26">
        <f>315719</f>
        <v>315719</v>
      </c>
      <c r="BP26">
        <f>291295</f>
        <v>291295</v>
      </c>
      <c r="BQ26">
        <f>313072</f>
        <v>313072</v>
      </c>
      <c r="BR26">
        <f>266649</f>
        <v>266649</v>
      </c>
      <c r="BS26">
        <f>165610</f>
        <v>165610</v>
      </c>
      <c r="BT26">
        <f>132005</f>
        <v>132005</v>
      </c>
      <c r="BU26">
        <f>162410</f>
        <v>162410</v>
      </c>
      <c r="BV26">
        <f>220788</f>
        <v>220788</v>
      </c>
      <c r="BW26">
        <f>226340</f>
        <v>226340</v>
      </c>
      <c r="BX26">
        <f>266254</f>
        <v>266254</v>
      </c>
      <c r="BY26">
        <f>289287</f>
        <v>289287</v>
      </c>
      <c r="BZ26">
        <f>299178</f>
        <v>299178</v>
      </c>
      <c r="CA26">
        <f>275357</f>
        <v>275357</v>
      </c>
      <c r="CB26">
        <f>278179</f>
        <v>278179</v>
      </c>
      <c r="CC26">
        <f>270614</f>
        <v>270614</v>
      </c>
      <c r="CD26">
        <f>234491</f>
        <v>234491</v>
      </c>
      <c r="CE26">
        <f>233692</f>
        <v>233692</v>
      </c>
      <c r="CF26">
        <f>190432</f>
        <v>190432</v>
      </c>
      <c r="CG26">
        <f>206221</f>
        <v>206221</v>
      </c>
      <c r="CH26">
        <f>245639</f>
        <v>245639</v>
      </c>
      <c r="CI26">
        <f>244872</f>
        <v>244872</v>
      </c>
      <c r="CJ26">
        <f>235979</f>
        <v>235979</v>
      </c>
      <c r="CK26">
        <f>231612</f>
        <v>231612</v>
      </c>
      <c r="CL26">
        <f>229366</f>
        <v>229366</v>
      </c>
      <c r="CM26">
        <f>239048</f>
        <v>239048</v>
      </c>
      <c r="CN26">
        <f>262119</f>
        <v>262119</v>
      </c>
      <c r="CO26">
        <f>290360</f>
        <v>290360</v>
      </c>
      <c r="CP26">
        <f>304889</f>
        <v>304889</v>
      </c>
      <c r="CQ26">
        <f>301433</f>
        <v>301433</v>
      </c>
      <c r="CR26">
        <f>301187</f>
        <v>301187</v>
      </c>
      <c r="CS26">
        <f>297739</f>
        <v>297739</v>
      </c>
      <c r="CT26">
        <f>296377</f>
        <v>296377</v>
      </c>
      <c r="CU26">
        <f>303029</f>
        <v>303029</v>
      </c>
      <c r="CV26">
        <f>290535</f>
        <v>290535</v>
      </c>
      <c r="CW26">
        <f>285238</f>
        <v>285238</v>
      </c>
      <c r="CX26">
        <f>307135</f>
        <v>307135</v>
      </c>
      <c r="CY26">
        <f>299025</f>
        <v>299025</v>
      </c>
      <c r="CZ26">
        <f>298471</f>
        <v>298471</v>
      </c>
      <c r="DA26">
        <f>290124</f>
        <v>290124</v>
      </c>
      <c r="DB26">
        <f>286033</f>
        <v>286033</v>
      </c>
      <c r="DC26">
        <f>267993</f>
        <v>267993</v>
      </c>
      <c r="DD26">
        <f>252539</f>
        <v>252539</v>
      </c>
      <c r="DE26">
        <f>252412</f>
        <v>252412</v>
      </c>
      <c r="DF26">
        <f>238253</f>
        <v>238253</v>
      </c>
      <c r="DG26">
        <f>237464</f>
        <v>237464</v>
      </c>
      <c r="DH26">
        <f>243227</f>
        <v>243227</v>
      </c>
      <c r="DI26">
        <f>266295</f>
        <v>266295</v>
      </c>
      <c r="DJ26">
        <f>291630.375</f>
        <v>291630.375</v>
      </c>
      <c r="DK26">
        <f>311269.132</f>
        <v>311269.13199999998</v>
      </c>
      <c r="DL26">
        <f>305267.082</f>
        <v>305267.08199999999</v>
      </c>
      <c r="DM26">
        <f>302138.553</f>
        <v>302138.55300000001</v>
      </c>
      <c r="DN26">
        <f>287897.791</f>
        <v>287897.79100000003</v>
      </c>
      <c r="DO26">
        <f>333442.889</f>
        <v>333442.88900000002</v>
      </c>
      <c r="DP26">
        <f>351282.417</f>
        <v>351282.41700000002</v>
      </c>
      <c r="DQ26">
        <f>352369.659</f>
        <v>352369.65899999999</v>
      </c>
      <c r="DR26">
        <f>360388.986</f>
        <v>360388.98599999998</v>
      </c>
      <c r="DS26">
        <f>344804.35</f>
        <v>344804.35</v>
      </c>
      <c r="DT26">
        <f>319256.326</f>
        <v>319256.326</v>
      </c>
      <c r="DU26" t="str">
        <f>""</f>
        <v/>
      </c>
    </row>
    <row r="27" spans="1:125" x14ac:dyDescent="0.25">
      <c r="A27" t="str">
        <f>"                Citigroup Inc"</f>
        <v xml:space="preserve">                Citigroup Inc</v>
      </c>
      <c r="B27" t="str">
        <f>"C US Equity"</f>
        <v>C US Equity</v>
      </c>
      <c r="C27" t="str">
        <f t="shared" si="3"/>
        <v>FC471</v>
      </c>
      <c r="D27" t="str">
        <f t="shared" si="4"/>
        <v>FDIC_SECS_AVAIL_FOR_SALE_MKT_VAL</v>
      </c>
      <c r="E27" t="str">
        <f t="shared" si="5"/>
        <v>Dynamic</v>
      </c>
      <c r="F27">
        <f ca="1">IF(AND(ISNUMBER($F$168),$B$145=1),$F$168,HLOOKUP(INDIRECT(ADDRESS(2,COLUMN())),OFFSET($BN$2,0,0,ROW()-1,60),ROW()-1,FALSE))</f>
        <v>222989</v>
      </c>
      <c r="G27">
        <f ca="1">IF(AND(ISNUMBER($G$168),$B$145=1),$G$168,HLOOKUP(INDIRECT(ADDRESS(2,COLUMN())),OFFSET($BN$2,0,0,ROW()-1,60),ROW()-1,FALSE))</f>
        <v>230095</v>
      </c>
      <c r="H27">
        <f ca="1">IF(AND(ISNUMBER($H$168),$B$145=1),$H$168,HLOOKUP(INDIRECT(ADDRESS(2,COLUMN())),OFFSET($BN$2,0,0,ROW()-1,60),ROW()-1,FALSE))</f>
        <v>244049</v>
      </c>
      <c r="I27">
        <f ca="1">IF(AND(ISNUMBER($I$168),$B$145=1),$I$168,HLOOKUP(INDIRECT(ADDRESS(2,COLUMN())),OFFSET($BN$2,0,0,ROW()-1,60),ROW()-1,FALSE))</f>
        <v>249149</v>
      </c>
      <c r="J27">
        <f ca="1">IF(AND(ISNUMBER($J$168),$B$145=1),$J$168,HLOOKUP(INDIRECT(ADDRESS(2,COLUMN())),OFFSET($BN$2,0,0,ROW()-1,60),ROW()-1,FALSE))</f>
        <v>250198</v>
      </c>
      <c r="K27">
        <f ca="1">IF(AND(ISNUMBER($K$168),$B$145=1),$K$168,HLOOKUP(INDIRECT(ADDRESS(2,COLUMN())),OFFSET($BN$2,0,0,ROW()-1,60),ROW()-1,FALSE))</f>
        <v>234933</v>
      </c>
      <c r="L27">
        <f ca="1">IF(AND(ISNUMBER($L$168),$B$145=1),$L$168,HLOOKUP(INDIRECT(ADDRESS(2,COLUMN())),OFFSET($BN$2,0,0,ROW()-1,60),ROW()-1,FALSE))</f>
        <v>231239</v>
      </c>
      <c r="M27">
        <f ca="1">IF(AND(ISNUMBER($M$168),$B$145=1),$M$168,HLOOKUP(INDIRECT(ADDRESS(2,COLUMN())),OFFSET($BN$2,0,0,ROW()-1,60),ROW()-1,FALSE))</f>
        <v>235329</v>
      </c>
      <c r="N27">
        <f ca="1">IF(AND(ISNUMBER($N$168),$B$145=1),$N$168,HLOOKUP(INDIRECT(ADDRESS(2,COLUMN())),OFFSET($BN$2,0,0,ROW()-1,60),ROW()-1,FALSE))</f>
        <v>245486</v>
      </c>
      <c r="O27">
        <f ca="1">IF(AND(ISNUMBER($O$168),$B$145=1),$O$168,HLOOKUP(INDIRECT(ADDRESS(2,COLUMN())),OFFSET($BN$2,0,0,ROW()-1,60),ROW()-1,FALSE))</f>
        <v>228387</v>
      </c>
      <c r="P27">
        <f ca="1">IF(AND(ISNUMBER($P$168),$B$145=1),$P$168,HLOOKUP(INDIRECT(ADDRESS(2,COLUMN())),OFFSET($BN$2,0,0,ROW()-1,60),ROW()-1,FALSE))</f>
        <v>233564</v>
      </c>
      <c r="Q27">
        <f ca="1">IF(AND(ISNUMBER($Q$168),$B$145=1),$Q$168,HLOOKUP(INDIRECT(ADDRESS(2,COLUMN())),OFFSET($BN$2,0,0,ROW()-1,60),ROW()-1,FALSE))</f>
        <v>260087</v>
      </c>
      <c r="R27">
        <f ca="1">IF(AND(ISNUMBER($R$168),$B$145=1),$R$168,HLOOKUP(INDIRECT(ADDRESS(2,COLUMN())),OFFSET($BN$2,0,0,ROW()-1,60),ROW()-1,FALSE))</f>
        <v>283645</v>
      </c>
      <c r="S27">
        <f ca="1">IF(AND(ISNUMBER($S$168),$B$145=1),$S$168,HLOOKUP(INDIRECT(ADDRESS(2,COLUMN())),OFFSET($BN$2,0,0,ROW()-1,60),ROW()-1,FALSE))</f>
        <v>290309</v>
      </c>
      <c r="T27">
        <f ca="1">IF(AND(ISNUMBER($T$168),$B$145=1),$T$168,HLOOKUP(INDIRECT(ADDRESS(2,COLUMN())),OFFSET($BN$2,0,0,ROW()-1,60),ROW()-1,FALSE))</f>
        <v>297315</v>
      </c>
      <c r="U27">
        <f ca="1">IF(AND(ISNUMBER($U$168),$B$145=1),$U$168,HLOOKUP(INDIRECT(ADDRESS(2,COLUMN())),OFFSET($BN$2,0,0,ROW()-1,60),ROW()-1,FALSE))</f>
        <v>299280</v>
      </c>
      <c r="V27">
        <f ca="1">IF(AND(ISNUMBER($V$168),$B$145=1),$V$168,HLOOKUP(INDIRECT(ADDRESS(2,COLUMN())),OFFSET($BN$2,0,0,ROW()-1,60),ROW()-1,FALSE))</f>
        <v>330218</v>
      </c>
      <c r="W27">
        <f ca="1">IF(AND(ISNUMBER($W$168),$B$145=1),$W$168,HLOOKUP(INDIRECT(ADDRESS(2,COLUMN())),OFFSET($BN$2,0,0,ROW()-1,60),ROW()-1,FALSE))</f>
        <v>339161</v>
      </c>
      <c r="X27">
        <f ca="1">IF(AND(ISNUMBER($X$168),$B$145=1),$X$168,HLOOKUP(INDIRECT(ADDRESS(2,COLUMN())),OFFSET($BN$2,0,0,ROW()-1,60),ROW()-1,FALSE))</f>
        <v>337636</v>
      </c>
      <c r="Y27">
        <f ca="1">IF(AND(ISNUMBER($Y$168),$B$145=1),$Y$168,HLOOKUP(INDIRECT(ADDRESS(2,COLUMN())),OFFSET($BN$2,0,0,ROW()-1,60),ROW()-1,FALSE))</f>
        <v>304150</v>
      </c>
      <c r="Z27">
        <f ca="1">IF(AND(ISNUMBER($Z$168),$B$145=1),$Z$168,HLOOKUP(INDIRECT(ADDRESS(2,COLUMN())),OFFSET($BN$2,0,0,ROW()-1,60),ROW()-1,FALSE))</f>
        <v>275823</v>
      </c>
      <c r="AA27">
        <f ca="1">IF(AND(ISNUMBER($AA$168),$B$145=1),$AA$168,HLOOKUP(INDIRECT(ADDRESS(2,COLUMN())),OFFSET($BN$2,0,0,ROW()-1,60),ROW()-1,FALSE))</f>
        <v>271519</v>
      </c>
      <c r="AB27">
        <f ca="1">IF(AND(ISNUMBER($AB$168),$B$145=1),$AB$168,HLOOKUP(INDIRECT(ADDRESS(2,COLUMN())),OFFSET($BN$2,0,0,ROW()-1,60),ROW()-1,FALSE))</f>
        <v>269246</v>
      </c>
      <c r="AC27">
        <f ca="1">IF(AND(ISNUMBER($AC$168),$B$145=1),$AC$168,HLOOKUP(INDIRECT(ADDRESS(2,COLUMN())),OFFSET($BN$2,0,0,ROW()-1,60),ROW()-1,FALSE))</f>
        <v>271460</v>
      </c>
      <c r="AD27">
        <f ca="1">IF(AND(ISNUMBER($AD$168),$B$145=1),$AD$168,HLOOKUP(INDIRECT(ADDRESS(2,COLUMN())),OFFSET($BN$2,0,0,ROW()-1,60),ROW()-1,FALSE))</f>
        <v>284066</v>
      </c>
      <c r="AE27">
        <f ca="1">IF(AND(ISNUMBER($AE$168),$B$145=1),$AE$168,HLOOKUP(INDIRECT(ADDRESS(2,COLUMN())),OFFSET($BN$2,0,0,ROW()-1,60),ROW()-1,FALSE))</f>
        <v>280867</v>
      </c>
      <c r="AF27">
        <f ca="1">IF(AND(ISNUMBER($AF$168),$B$145=1),$AF$168,HLOOKUP(INDIRECT(ADDRESS(2,COLUMN())),OFFSET($BN$2,0,0,ROW()-1,60),ROW()-1,FALSE))</f>
        <v>285445</v>
      </c>
      <c r="AG27">
        <f ca="1">IF(AND(ISNUMBER($AG$168),$B$145=1),$AG$168,HLOOKUP(INDIRECT(ADDRESS(2,COLUMN())),OFFSET($BN$2,0,0,ROW()-1,60),ROW()-1,FALSE))</f>
        <v>291358</v>
      </c>
      <c r="AH27">
        <f ca="1">IF(AND(ISNUMBER($AH$168),$B$145=1),$AH$168,HLOOKUP(INDIRECT(ADDRESS(2,COLUMN())),OFFSET($BN$2,0,0,ROW()-1,60),ROW()-1,FALSE))</f>
        <v>290616</v>
      </c>
      <c r="AI27">
        <f ca="1">IF(AND(ISNUMBER($AI$168),$B$145=1),$AI$168,HLOOKUP(INDIRECT(ADDRESS(2,COLUMN())),OFFSET($BN$2,0,0,ROW()-1,60),ROW()-1,FALSE))</f>
        <v>294977</v>
      </c>
      <c r="AJ27">
        <f ca="1">IF(AND(ISNUMBER($AJ$168),$B$145=1),$AJ$168,HLOOKUP(INDIRECT(ADDRESS(2,COLUMN())),OFFSET($BN$2,0,0,ROW()-1,60),ROW()-1,FALSE))</f>
        <v>293359</v>
      </c>
      <c r="AK27">
        <f ca="1">IF(AND(ISNUMBER($AK$168),$B$145=1),$AK$168,HLOOKUP(INDIRECT(ADDRESS(2,COLUMN())),OFFSET($BN$2,0,0,ROW()-1,60),ROW()-1,FALSE))</f>
        <v>289982</v>
      </c>
      <c r="AL27">
        <f ca="1">IF(AND(ISNUMBER($AL$168),$B$145=1),$AL$168,HLOOKUP(INDIRECT(ADDRESS(2,COLUMN())),OFFSET($BN$2,0,0,ROW()-1,60),ROW()-1,FALSE))</f>
        <v>299168</v>
      </c>
      <c r="AM27">
        <f ca="1">IF(AND(ISNUMBER($AM$168),$B$145=1),$AM$168,HLOOKUP(INDIRECT(ADDRESS(2,COLUMN())),OFFSET($BN$2,0,0,ROW()-1,60),ROW()-1,FALSE))</f>
        <v>307533</v>
      </c>
      <c r="AN27">
        <f ca="1">IF(AND(ISNUMBER($AN$168),$B$145=1),$AN$168,HLOOKUP(INDIRECT(ADDRESS(2,COLUMN())),OFFSET($BN$2,0,0,ROW()-1,60),ROW()-1,FALSE))</f>
        <v>312241</v>
      </c>
      <c r="AO27">
        <f ca="1">IF(AND(ISNUMBER($AO$168),$B$145=1),$AO$168,HLOOKUP(INDIRECT(ADDRESS(2,COLUMN())),OFFSET($BN$2,0,0,ROW()-1,60),ROW()-1,FALSE))</f>
        <v>308243</v>
      </c>
      <c r="AP27">
        <f ca="1">IF(AND(ISNUMBER($AP$168),$B$145=1),$AP$168,HLOOKUP(INDIRECT(ADDRESS(2,COLUMN())),OFFSET($BN$2,0,0,ROW()-1,60),ROW()-1,FALSE))</f>
        <v>299136</v>
      </c>
      <c r="AQ27">
        <f ca="1">IF(AND(ISNUMBER($AQ$168),$B$145=1),$AQ$168,HLOOKUP(INDIRECT(ADDRESS(2,COLUMN())),OFFSET($BN$2,0,0,ROW()-1,60),ROW()-1,FALSE))</f>
        <v>302117</v>
      </c>
      <c r="AR27">
        <f ca="1">IF(AND(ISNUMBER($AR$168),$B$145=1),$AR$168,HLOOKUP(INDIRECT(ADDRESS(2,COLUMN())),OFFSET($BN$2,0,0,ROW()-1,60),ROW()-1,FALSE))</f>
        <v>295570</v>
      </c>
      <c r="AS27">
        <f ca="1">IF(AND(ISNUMBER($AS$168),$B$145=1),$AS$168,HLOOKUP(INDIRECT(ADDRESS(2,COLUMN())),OFFSET($BN$2,0,0,ROW()-1,60),ROW()-1,FALSE))</f>
        <v>296736</v>
      </c>
      <c r="AT27">
        <f ca="1">IF(AND(ISNUMBER($AT$168),$B$145=1),$AT$168,HLOOKUP(INDIRECT(ADDRESS(2,COLUMN())),OFFSET($BN$2,0,0,ROW()-1,60),ROW()-1,FALSE))</f>
        <v>300143</v>
      </c>
      <c r="AU27">
        <f ca="1">IF(AND(ISNUMBER($AU$168),$B$145=1),$AU$168,HLOOKUP(INDIRECT(ADDRESS(2,COLUMN())),OFFSET($BN$2,0,0,ROW()-1,60),ROW()-1,FALSE))</f>
        <v>298678</v>
      </c>
      <c r="AV27">
        <f ca="1">IF(AND(ISNUMBER($AV$168),$B$145=1),$AV$168,HLOOKUP(INDIRECT(ADDRESS(2,COLUMN())),OFFSET($BN$2,0,0,ROW()-1,60),ROW()-1,FALSE))</f>
        <v>292578</v>
      </c>
      <c r="AW27">
        <f ca="1">IF(AND(ISNUMBER($AW$168),$B$145=1),$AW$168,HLOOKUP(INDIRECT(ADDRESS(2,COLUMN())),OFFSET($BN$2,0,0,ROW()-1,60),ROW()-1,FALSE))</f>
        <v>290937</v>
      </c>
      <c r="AX27">
        <f ca="1">IF(AND(ISNUMBER($AX$168),$B$145=1),$AX$168,HLOOKUP(INDIRECT(ADDRESS(2,COLUMN())),OFFSET($BN$2,0,0,ROW()-1,60),ROW()-1,FALSE))</f>
        <v>286511</v>
      </c>
      <c r="AY27">
        <f ca="1">IF(AND(ISNUMBER($AY$168),$B$145=1),$AY$168,HLOOKUP(INDIRECT(ADDRESS(2,COLUMN())),OFFSET($BN$2,0,0,ROW()-1,60),ROW()-1,FALSE))</f>
        <v>279877</v>
      </c>
      <c r="AZ27">
        <f ca="1">IF(AND(ISNUMBER($AZ$168),$B$145=1),$AZ$168,HLOOKUP(INDIRECT(ADDRESS(2,COLUMN())),OFFSET($BN$2,0,0,ROW()-1,60),ROW()-1,FALSE))</f>
        <v>277378</v>
      </c>
      <c r="BA27">
        <f ca="1">IF(AND(ISNUMBER($BA$168),$B$145=1),$BA$168,HLOOKUP(INDIRECT(ADDRESS(2,COLUMN())),OFFSET($BN$2,0,0,ROW()-1,60),ROW()-1,FALSE))</f>
        <v>281749</v>
      </c>
      <c r="BB27">
        <f ca="1">IF(AND(ISNUMBER($BB$168),$B$145=1),$BB$168,HLOOKUP(INDIRECT(ADDRESS(2,COLUMN())),OFFSET($BN$2,0,0,ROW()-1,60),ROW()-1,FALSE))</f>
        <v>288695</v>
      </c>
      <c r="BC27">
        <f ca="1">IF(AND(ISNUMBER($BC$168),$B$145=1),$BC$168,HLOOKUP(INDIRECT(ADDRESS(2,COLUMN())),OFFSET($BN$2,0,0,ROW()-1,60),ROW()-1,FALSE))</f>
        <v>271261</v>
      </c>
      <c r="BD27">
        <f ca="1">IF(AND(ISNUMBER($BD$168),$B$145=1),$BD$168,HLOOKUP(INDIRECT(ADDRESS(2,COLUMN())),OFFSET($BN$2,0,0,ROW()-1,60),ROW()-1,FALSE))</f>
        <v>279586</v>
      </c>
      <c r="BE27">
        <f ca="1">IF(AND(ISNUMBER($BE$168),$B$145=1),$BE$168,HLOOKUP(INDIRECT(ADDRESS(2,COLUMN())),OFFSET($BN$2,0,0,ROW()-1,60),ROW()-1,FALSE))</f>
        <v>270583</v>
      </c>
      <c r="BF27">
        <f ca="1">IF(AND(ISNUMBER($BF$168),$B$145=1),$BF$168,HLOOKUP(INDIRECT(ADDRESS(2,COLUMN())),OFFSET($BN$2,0,0,ROW()-1,60),ROW()-1,FALSE))</f>
        <v>265204</v>
      </c>
      <c r="BG27">
        <f ca="1">IF(AND(ISNUMBER($BG$168),$B$145=1),$BG$168,HLOOKUP(INDIRECT(ADDRESS(2,COLUMN())),OFFSET($BN$2,0,0,ROW()-1,60),ROW()-1,FALSE))</f>
        <v>258361</v>
      </c>
      <c r="BH27">
        <f ca="1">IF(AND(ISNUMBER($BH$168),$B$145=1),$BH$168,HLOOKUP(INDIRECT(ADDRESS(2,COLUMN())),OFFSET($BN$2,0,0,ROW()-1,60),ROW()-1,FALSE))</f>
        <v>277831</v>
      </c>
      <c r="BI27">
        <f ca="1">IF(AND(ISNUMBER($BI$168),$B$145=1),$BI$168,HLOOKUP(INDIRECT(ADDRESS(2,COLUMN())),OFFSET($BN$2,0,0,ROW()-1,60),ROW()-1,FALSE))</f>
        <v>294638</v>
      </c>
      <c r="BJ27">
        <f ca="1">IF(AND(ISNUMBER($BJ$168),$B$145=1),$BJ$168,HLOOKUP(INDIRECT(ADDRESS(2,COLUMN())),OFFSET($BN$2,0,0,ROW()-1,60),ROW()-1,FALSE))</f>
        <v>274422</v>
      </c>
      <c r="BK27">
        <f ca="1">IF(AND(ISNUMBER($BK$168),$B$145=1),$BK$168,HLOOKUP(INDIRECT(ADDRESS(2,COLUMN())),OFFSET($BN$2,0,0,ROW()-1,60),ROW()-1,FALSE))</f>
        <v>296527</v>
      </c>
      <c r="BL27">
        <f ca="1">IF(AND(ISNUMBER($BL$168),$B$145=1),$BL$168,HLOOKUP(INDIRECT(ADDRESS(2,COLUMN())),OFFSET($BN$2,0,0,ROW()-1,60),ROW()-1,FALSE))</f>
        <v>270587</v>
      </c>
      <c r="BM27" t="str">
        <f ca="1">IF(AND(ISNUMBER($BM$168),$B$145=1),$BM$168,HLOOKUP(INDIRECT(ADDRESS(2,COLUMN())),OFFSET($BN$2,0,0,ROW()-1,60),ROW()-1,FALSE))</f>
        <v/>
      </c>
      <c r="BN27">
        <f>222989</f>
        <v>222989</v>
      </c>
      <c r="BO27">
        <f>230095</f>
        <v>230095</v>
      </c>
      <c r="BP27">
        <f>244049</f>
        <v>244049</v>
      </c>
      <c r="BQ27">
        <f>249149</f>
        <v>249149</v>
      </c>
      <c r="BR27">
        <f>250198</f>
        <v>250198</v>
      </c>
      <c r="BS27">
        <f>234933</f>
        <v>234933</v>
      </c>
      <c r="BT27">
        <f>231239</f>
        <v>231239</v>
      </c>
      <c r="BU27">
        <f>235329</f>
        <v>235329</v>
      </c>
      <c r="BV27">
        <f>245486</f>
        <v>245486</v>
      </c>
      <c r="BW27">
        <f>228387</f>
        <v>228387</v>
      </c>
      <c r="BX27">
        <f>233564</f>
        <v>233564</v>
      </c>
      <c r="BY27">
        <f>260087</f>
        <v>260087</v>
      </c>
      <c r="BZ27">
        <f>283645</f>
        <v>283645</v>
      </c>
      <c r="CA27">
        <f>290309</f>
        <v>290309</v>
      </c>
      <c r="CB27">
        <f>297315</f>
        <v>297315</v>
      </c>
      <c r="CC27">
        <f>299280</f>
        <v>299280</v>
      </c>
      <c r="CD27">
        <f>330218</f>
        <v>330218</v>
      </c>
      <c r="CE27">
        <f>339161</f>
        <v>339161</v>
      </c>
      <c r="CF27">
        <f>337636</f>
        <v>337636</v>
      </c>
      <c r="CG27">
        <f>304150</f>
        <v>304150</v>
      </c>
      <c r="CH27">
        <f>275823</f>
        <v>275823</v>
      </c>
      <c r="CI27">
        <f>271519</f>
        <v>271519</v>
      </c>
      <c r="CJ27">
        <f>269246</f>
        <v>269246</v>
      </c>
      <c r="CK27">
        <f>271460</f>
        <v>271460</v>
      </c>
      <c r="CL27">
        <f>284066</f>
        <v>284066</v>
      </c>
      <c r="CM27">
        <f>280867</f>
        <v>280867</v>
      </c>
      <c r="CN27">
        <f>285445</f>
        <v>285445</v>
      </c>
      <c r="CO27">
        <f>291358</f>
        <v>291358</v>
      </c>
      <c r="CP27">
        <f>290616</f>
        <v>290616</v>
      </c>
      <c r="CQ27">
        <f>294977</f>
        <v>294977</v>
      </c>
      <c r="CR27">
        <f>293359</f>
        <v>293359</v>
      </c>
      <c r="CS27">
        <f>289982</f>
        <v>289982</v>
      </c>
      <c r="CT27">
        <f>299168</f>
        <v>299168</v>
      </c>
      <c r="CU27">
        <f>307533</f>
        <v>307533</v>
      </c>
      <c r="CV27">
        <f>312241</f>
        <v>312241</v>
      </c>
      <c r="CW27">
        <f>308243</f>
        <v>308243</v>
      </c>
      <c r="CX27">
        <f>299136</f>
        <v>299136</v>
      </c>
      <c r="CY27">
        <f>302117</f>
        <v>302117</v>
      </c>
      <c r="CZ27">
        <f>295570</f>
        <v>295570</v>
      </c>
      <c r="DA27">
        <f>296736</f>
        <v>296736</v>
      </c>
      <c r="DB27">
        <f>300143</f>
        <v>300143</v>
      </c>
      <c r="DC27">
        <f>298678</f>
        <v>298678</v>
      </c>
      <c r="DD27">
        <f>292578</f>
        <v>292578</v>
      </c>
      <c r="DE27">
        <f>290937</f>
        <v>290937</v>
      </c>
      <c r="DF27">
        <f>286511</f>
        <v>286511</v>
      </c>
      <c r="DG27">
        <f>279877</f>
        <v>279877</v>
      </c>
      <c r="DH27">
        <f>277378</f>
        <v>277378</v>
      </c>
      <c r="DI27">
        <f>281749</f>
        <v>281749</v>
      </c>
      <c r="DJ27">
        <f>288695</f>
        <v>288695</v>
      </c>
      <c r="DK27">
        <f>271261</f>
        <v>271261</v>
      </c>
      <c r="DL27">
        <f>279586</f>
        <v>279586</v>
      </c>
      <c r="DM27">
        <f>270583</f>
        <v>270583</v>
      </c>
      <c r="DN27">
        <f>265204</f>
        <v>265204</v>
      </c>
      <c r="DO27">
        <f>258361</f>
        <v>258361</v>
      </c>
      <c r="DP27">
        <f>277831</f>
        <v>277831</v>
      </c>
      <c r="DQ27">
        <f>294638</f>
        <v>294638</v>
      </c>
      <c r="DR27">
        <f>274422</f>
        <v>274422</v>
      </c>
      <c r="DS27">
        <f>296527</f>
        <v>296527</v>
      </c>
      <c r="DT27">
        <f>270587</f>
        <v>270587</v>
      </c>
      <c r="DU27" t="str">
        <f>""</f>
        <v/>
      </c>
    </row>
    <row r="28" spans="1:125" x14ac:dyDescent="0.25">
      <c r="A28" t="str">
        <f>"                Citizens Financial Group Inc"</f>
        <v xml:space="preserve">                Citizens Financial Group Inc</v>
      </c>
      <c r="B28" t="str">
        <f>"CFG US Equity"</f>
        <v>CFG US Equity</v>
      </c>
      <c r="C28" t="str">
        <f t="shared" si="3"/>
        <v>FC471</v>
      </c>
      <c r="D28" t="str">
        <f t="shared" si="4"/>
        <v>FDIC_SECS_AVAIL_FOR_SALE_MKT_VAL</v>
      </c>
      <c r="E28" t="str">
        <f t="shared" si="5"/>
        <v>Dynamic</v>
      </c>
      <c r="F28">
        <f ca="1">IF(AND(ISNUMBER($F$169),$B$145=1),$F$169,HLOOKUP(INDIRECT(ADDRESS(2,COLUMN())),OFFSET($BN$2,0,0,ROW()-1,60),ROW()-1,FALSE))</f>
        <v>32764.804</v>
      </c>
      <c r="G28">
        <f ca="1">IF(AND(ISNUMBER($G$169),$B$145=1),$G$169,HLOOKUP(INDIRECT(ADDRESS(2,COLUMN())),OFFSET($BN$2,0,0,ROW()-1,60),ROW()-1,FALSE))</f>
        <v>32834.57</v>
      </c>
      <c r="H28">
        <f ca="1">IF(AND(ISNUMBER($H$169),$B$145=1),$H$169,HLOOKUP(INDIRECT(ADDRESS(2,COLUMN())),OFFSET($BN$2,0,0,ROW()-1,60),ROW()-1,FALSE))</f>
        <v>31938.107</v>
      </c>
      <c r="I28">
        <f ca="1">IF(AND(ISNUMBER($I$169),$B$145=1),$I$169,HLOOKUP(INDIRECT(ADDRESS(2,COLUMN())),OFFSET($BN$2,0,0,ROW()-1,60),ROW()-1,FALSE))</f>
        <v>31186.589</v>
      </c>
      <c r="J28">
        <f ca="1">IF(AND(ISNUMBER($J$169),$B$145=1),$J$169,HLOOKUP(INDIRECT(ADDRESS(2,COLUMN())),OFFSET($BN$2,0,0,ROW()-1,60),ROW()-1,FALSE))</f>
        <v>29777.315999999999</v>
      </c>
      <c r="K28">
        <f ca="1">IF(AND(ISNUMBER($K$169),$B$145=1),$K$169,HLOOKUP(INDIRECT(ADDRESS(2,COLUMN())),OFFSET($BN$2,0,0,ROW()-1,60),ROW()-1,FALSE))</f>
        <v>25068.662</v>
      </c>
      <c r="L28">
        <f ca="1">IF(AND(ISNUMBER($L$169),$B$145=1),$L$169,HLOOKUP(INDIRECT(ADDRESS(2,COLUMN())),OFFSET($BN$2,0,0,ROW()-1,60),ROW()-1,FALSE))</f>
        <v>24754.548999999999</v>
      </c>
      <c r="M28">
        <f ca="1">IF(AND(ISNUMBER($M$169),$B$145=1),$M$169,HLOOKUP(INDIRECT(ADDRESS(2,COLUMN())),OFFSET($BN$2,0,0,ROW()-1,60),ROW()-1,FALSE))</f>
        <v>23844.717000000001</v>
      </c>
      <c r="N28">
        <f ca="1">IF(AND(ISNUMBER($N$169),$B$145=1),$N$169,HLOOKUP(INDIRECT(ADDRESS(2,COLUMN())),OFFSET($BN$2,0,0,ROW()-1,60),ROW()-1,FALSE))</f>
        <v>24006.589</v>
      </c>
      <c r="O28">
        <f ca="1">IF(AND(ISNUMBER($O$169),$B$145=1),$O$169,HLOOKUP(INDIRECT(ADDRESS(2,COLUMN())),OFFSET($BN$2,0,0,ROW()-1,60),ROW()-1,FALSE))</f>
        <v>23477.708999999999</v>
      </c>
      <c r="P28">
        <f ca="1">IF(AND(ISNUMBER($P$169),$B$145=1),$P$169,HLOOKUP(INDIRECT(ADDRESS(2,COLUMN())),OFFSET($BN$2,0,0,ROW()-1,60),ROW()-1,FALSE))</f>
        <v>24961.437000000002</v>
      </c>
      <c r="Q28">
        <f ca="1">IF(AND(ISNUMBER($Q$169),$B$145=1),$Q$169,HLOOKUP(INDIRECT(ADDRESS(2,COLUMN())),OFFSET($BN$2,0,0,ROW()-1,60),ROW()-1,FALSE))</f>
        <v>25318.882000000001</v>
      </c>
      <c r="R28">
        <f ca="1">IF(AND(ISNUMBER($R$169),$B$145=1),$R$169,HLOOKUP(INDIRECT(ADDRESS(2,COLUMN())),OFFSET($BN$2,0,0,ROW()-1,60),ROW()-1,FALSE))</f>
        <v>26066.771000000001</v>
      </c>
      <c r="S28">
        <f ca="1">IF(AND(ISNUMBER($S$169),$B$145=1),$S$169,HLOOKUP(INDIRECT(ADDRESS(2,COLUMN())),OFFSET($BN$2,0,0,ROW()-1,60),ROW()-1,FALSE))</f>
        <v>24910.557000000001</v>
      </c>
      <c r="T28">
        <f ca="1">IF(AND(ISNUMBER($T$169),$B$145=1),$T$169,HLOOKUP(INDIRECT(ADDRESS(2,COLUMN())),OFFSET($BN$2,0,0,ROW()-1,60),ROW()-1,FALSE))</f>
        <v>24583.025000000001</v>
      </c>
      <c r="U28">
        <f ca="1">IF(AND(ISNUMBER($U$169),$B$145=1),$U$169,HLOOKUP(INDIRECT(ADDRESS(2,COLUMN())),OFFSET($BN$2,0,0,ROW()-1,60),ROW()-1,FALSE))</f>
        <v>24466.614000000001</v>
      </c>
      <c r="V28">
        <f ca="1">IF(AND(ISNUMBER($V$169),$B$145=1),$V$169,HLOOKUP(INDIRECT(ADDRESS(2,COLUMN())),OFFSET($BN$2,0,0,ROW()-1,60),ROW()-1,FALSE))</f>
        <v>22942.361000000001</v>
      </c>
      <c r="W28">
        <f ca="1">IF(AND(ISNUMBER($W$169),$B$145=1),$W$169,HLOOKUP(INDIRECT(ADDRESS(2,COLUMN())),OFFSET($BN$2,0,0,ROW()-1,60),ROW()-1,FALSE))</f>
        <v>22884.384999999998</v>
      </c>
      <c r="X28">
        <f ca="1">IF(AND(ISNUMBER($X$169),$B$145=1),$X$169,HLOOKUP(INDIRECT(ADDRESS(2,COLUMN())),OFFSET($BN$2,0,0,ROW()-1,60),ROW()-1,FALSE))</f>
        <v>22143.732</v>
      </c>
      <c r="Y28">
        <f ca="1">IF(AND(ISNUMBER($Y$169),$B$145=1),$Y$169,HLOOKUP(INDIRECT(ADDRESS(2,COLUMN())),OFFSET($BN$2,0,0,ROW()-1,60),ROW()-1,FALSE))</f>
        <v>22307.134999999998</v>
      </c>
      <c r="Z28">
        <f ca="1">IF(AND(ISNUMBER($Z$169),$B$145=1),$Z$169,HLOOKUP(INDIRECT(ADDRESS(2,COLUMN())),OFFSET($BN$2,0,0,ROW()-1,60),ROW()-1,FALSE))</f>
        <v>20612.674999999999</v>
      </c>
      <c r="AA28">
        <f ca="1">IF(AND(ISNUMBER($AA$169),$B$145=1),$AA$169,HLOOKUP(INDIRECT(ADDRESS(2,COLUMN())),OFFSET($BN$2,0,0,ROW()-1,60),ROW()-1,FALSE))</f>
        <v>21502.073</v>
      </c>
      <c r="AB28">
        <f ca="1">IF(AND(ISNUMBER($AB$169),$B$145=1),$AB$169,HLOOKUP(INDIRECT(ADDRESS(2,COLUMN())),OFFSET($BN$2,0,0,ROW()-1,60),ROW()-1,FALSE))</f>
        <v>21697.963</v>
      </c>
      <c r="AC28">
        <f ca="1">IF(AND(ISNUMBER($AC$169),$B$145=1),$AC$169,HLOOKUP(INDIRECT(ADDRESS(2,COLUMN())),OFFSET($BN$2,0,0,ROW()-1,60),ROW()-1,FALSE))</f>
        <v>21503.913</v>
      </c>
      <c r="AD28">
        <f ca="1">IF(AND(ISNUMBER($AD$169),$B$145=1),$AD$169,HLOOKUP(INDIRECT(ADDRESS(2,COLUMN())),OFFSET($BN$2,0,0,ROW()-1,60),ROW()-1,FALSE))</f>
        <v>19894.929</v>
      </c>
      <c r="AE28">
        <f ca="1">IF(AND(ISNUMBER($AE$169),$B$145=1),$AE$169,HLOOKUP(INDIRECT(ADDRESS(2,COLUMN())),OFFSET($BN$2,0,0,ROW()-1,60),ROW()-1,FALSE))</f>
        <v>20152.171999999999</v>
      </c>
      <c r="AF28">
        <f ca="1">IF(AND(ISNUMBER($AF$169),$B$145=1),$AF$169,HLOOKUP(INDIRECT(ADDRESS(2,COLUMN())),OFFSET($BN$2,0,0,ROW()-1,60),ROW()-1,FALSE))</f>
        <v>20156.664000000001</v>
      </c>
      <c r="AG28">
        <f ca="1">IF(AND(ISNUMBER($AG$169),$B$145=1),$AG$169,HLOOKUP(INDIRECT(ADDRESS(2,COLUMN())),OFFSET($BN$2,0,0,ROW()-1,60),ROW()-1,FALSE))</f>
        <v>19957.912</v>
      </c>
      <c r="AH28">
        <f ca="1">IF(AND(ISNUMBER($AH$169),$B$145=1),$AH$169,HLOOKUP(INDIRECT(ADDRESS(2,COLUMN())),OFFSET($BN$2,0,0,ROW()-1,60),ROW()-1,FALSE))</f>
        <v>20157.085999999999</v>
      </c>
      <c r="AI28">
        <f ca="1">IF(AND(ISNUMBER($AI$169),$B$145=1),$AI$169,HLOOKUP(INDIRECT(ADDRESS(2,COLUMN())),OFFSET($BN$2,0,0,ROW()-1,60),ROW()-1,FALSE))</f>
        <v>19982.162</v>
      </c>
      <c r="AJ28">
        <f ca="1">IF(AND(ISNUMBER($AJ$169),$B$145=1),$AJ$169,HLOOKUP(INDIRECT(ADDRESS(2,COLUMN())),OFFSET($BN$2,0,0,ROW()-1,60),ROW()-1,FALSE))</f>
        <v>19257.489000000001</v>
      </c>
      <c r="AK28">
        <f ca="1">IF(AND(ISNUMBER($AK$169),$B$145=1),$AK$169,HLOOKUP(INDIRECT(ADDRESS(2,COLUMN())),OFFSET($BN$2,0,0,ROW()-1,60),ROW()-1,FALSE))</f>
        <v>19964.079000000002</v>
      </c>
      <c r="AL28">
        <f ca="1">IF(AND(ISNUMBER($AL$169),$B$145=1),$AL$169,HLOOKUP(INDIRECT(ADDRESS(2,COLUMN())),OFFSET($BN$2,0,0,ROW()-1,60),ROW()-1,FALSE))</f>
        <v>19484.053</v>
      </c>
      <c r="AM28">
        <f ca="1">IF(AND(ISNUMBER($AM$169),$B$145=1),$AM$169,HLOOKUP(INDIRECT(ADDRESS(2,COLUMN())),OFFSET($BN$2,0,0,ROW()-1,60),ROW()-1,FALSE))</f>
        <v>19408.246999999999</v>
      </c>
      <c r="AN28">
        <f ca="1">IF(AND(ISNUMBER($AN$169),$B$145=1),$AN$169,HLOOKUP(INDIRECT(ADDRESS(2,COLUMN())),OFFSET($BN$2,0,0,ROW()-1,60),ROW()-1,FALSE))</f>
        <v>18461.353999999999</v>
      </c>
      <c r="AO28">
        <f ca="1">IF(AND(ISNUMBER($AO$169),$B$145=1),$AO$169,HLOOKUP(INDIRECT(ADDRESS(2,COLUMN())),OFFSET($BN$2,0,0,ROW()-1,60),ROW()-1,FALSE))</f>
        <v>17946.612000000001</v>
      </c>
      <c r="AP28">
        <f ca="1">IF(AND(ISNUMBER($AP$169),$B$145=1),$AP$169,HLOOKUP(INDIRECT(ADDRESS(2,COLUMN())),OFFSET($BN$2,0,0,ROW()-1,60),ROW()-1,FALSE))</f>
        <v>17866.702000000001</v>
      </c>
      <c r="AQ28">
        <f ca="1">IF(AND(ISNUMBER($AQ$169),$B$145=1),$AQ$169,HLOOKUP(INDIRECT(ADDRESS(2,COLUMN())),OFFSET($BN$2,0,0,ROW()-1,60),ROW()-1,FALSE))</f>
        <v>18179.499</v>
      </c>
      <c r="AR28">
        <f ca="1">IF(AND(ISNUMBER($AR$169),$B$145=1),$AR$169,HLOOKUP(INDIRECT(ADDRESS(2,COLUMN())),OFFSET($BN$2,0,0,ROW()-1,60),ROW()-1,FALSE))</f>
        <v>18645.18</v>
      </c>
      <c r="AS28">
        <f ca="1">IF(AND(ISNUMBER($AS$169),$B$145=1),$AS$169,HLOOKUP(INDIRECT(ADDRESS(2,COLUMN())),OFFSET($BN$2,0,0,ROW()-1,60),ROW()-1,FALSE))</f>
        <v>19023.800999999999</v>
      </c>
      <c r="AT28">
        <f ca="1">IF(AND(ISNUMBER($AT$169),$B$145=1),$AT$169,HLOOKUP(INDIRECT(ADDRESS(2,COLUMN())),OFFSET($BN$2,0,0,ROW()-1,60),ROW()-1,FALSE))</f>
        <v>18638.577000000001</v>
      </c>
      <c r="AU28">
        <f ca="1">IF(AND(ISNUMBER($AU$169),$B$145=1),$AU$169,HLOOKUP(INDIRECT(ADDRESS(2,COLUMN())),OFFSET($BN$2,0,0,ROW()-1,60),ROW()-1,FALSE))</f>
        <v>18649.473999999998</v>
      </c>
      <c r="AV28">
        <f ca="1">IF(AND(ISNUMBER($AV$169),$B$145=1),$AV$169,HLOOKUP(INDIRECT(ADDRESS(2,COLUMN())),OFFSET($BN$2,0,0,ROW()-1,60),ROW()-1,FALSE))</f>
        <v>18476.127</v>
      </c>
      <c r="AW28">
        <f ca="1">IF(AND(ISNUMBER($AW$169),$B$145=1),$AW$169,HLOOKUP(INDIRECT(ADDRESS(2,COLUMN())),OFFSET($BN$2,0,0,ROW()-1,60),ROW()-1,FALSE))</f>
        <v>18395.395</v>
      </c>
      <c r="AX28">
        <f ca="1">IF(AND(ISNUMBER($AX$169),$B$145=1),$AX$169,HLOOKUP(INDIRECT(ADDRESS(2,COLUMN())),OFFSET($BN$2,0,0,ROW()-1,60),ROW()-1,FALSE))</f>
        <v>15977.601000000001</v>
      </c>
      <c r="AY28">
        <f ca="1">IF(AND(ISNUMBER($AY$169),$B$145=1),$AY$169,HLOOKUP(INDIRECT(ADDRESS(2,COLUMN())),OFFSET($BN$2,0,0,ROW()-1,60),ROW()-1,FALSE))</f>
        <v>19871.34</v>
      </c>
      <c r="AZ28">
        <f ca="1">IF(AND(ISNUMBER($AZ$169),$B$145=1),$AZ$169,HLOOKUP(INDIRECT(ADDRESS(2,COLUMN())),OFFSET($BN$2,0,0,ROW()-1,60),ROW()-1,FALSE))</f>
        <v>16416.563999999998</v>
      </c>
      <c r="BA28">
        <f ca="1">IF(AND(ISNUMBER($BA$169),$B$145=1),$BA$169,HLOOKUP(INDIRECT(ADDRESS(2,COLUMN())),OFFSET($BN$2,0,0,ROW()-1,60),ROW()-1,FALSE))</f>
        <v>17054.381000000001</v>
      </c>
      <c r="BB28">
        <f ca="1">IF(AND(ISNUMBER($BB$169),$B$145=1),$BB$169,HLOOKUP(INDIRECT(ADDRESS(2,COLUMN())),OFFSET($BN$2,0,0,ROW()-1,60),ROW()-1,FALSE))</f>
        <v>18343.530999999999</v>
      </c>
      <c r="BC28">
        <f ca="1">IF(AND(ISNUMBER($BC$169),$B$145=1),$BC$169,HLOOKUP(INDIRECT(ADDRESS(2,COLUMN())),OFFSET($BN$2,0,0,ROW()-1,60),ROW()-1,FALSE))</f>
        <v>20256.066999999999</v>
      </c>
      <c r="BD28">
        <f ca="1">IF(AND(ISNUMBER($BD$169),$B$145=1),$BD$169,HLOOKUP(INDIRECT(ADDRESS(2,COLUMN())),OFFSET($BN$2,0,0,ROW()-1,60),ROW()-1,FALSE))</f>
        <v>21082.25</v>
      </c>
      <c r="BE28">
        <f ca="1">IF(AND(ISNUMBER($BE$169),$B$145=1),$BE$169,HLOOKUP(INDIRECT(ADDRESS(2,COLUMN())),OFFSET($BN$2,0,0,ROW()-1,60),ROW()-1,FALSE))</f>
        <v>21695.455999999998</v>
      </c>
      <c r="BF28">
        <f ca="1">IF(AND(ISNUMBER($BF$169),$B$145=1),$BF$169,HLOOKUP(INDIRECT(ADDRESS(2,COLUMN())),OFFSET($BN$2,0,0,ROW()-1,60),ROW()-1,FALSE))</f>
        <v>22137.342000000001</v>
      </c>
      <c r="BG28">
        <f ca="1">IF(AND(ISNUMBER($BG$169),$B$145=1),$BG$169,HLOOKUP(INDIRECT(ADDRESS(2,COLUMN())),OFFSET($BN$2,0,0,ROW()-1,60),ROW()-1,FALSE))</f>
        <v>20891.615000000002</v>
      </c>
      <c r="BH28">
        <f ca="1">IF(AND(ISNUMBER($BH$169),$B$145=1),$BH$169,HLOOKUP(INDIRECT(ADDRESS(2,COLUMN())),OFFSET($BN$2,0,0,ROW()-1,60),ROW()-1,FALSE))</f>
        <v>21776.703000000001</v>
      </c>
      <c r="BI28">
        <f ca="1">IF(AND(ISNUMBER($BI$169),$B$145=1),$BI$169,HLOOKUP(INDIRECT(ADDRESS(2,COLUMN())),OFFSET($BN$2,0,0,ROW()-1,60),ROW()-1,FALSE))</f>
        <v>22552.112000000001</v>
      </c>
      <c r="BJ28">
        <f ca="1">IF(AND(ISNUMBER($BJ$169),$B$145=1),$BJ$169,HLOOKUP(INDIRECT(ADDRESS(2,COLUMN())),OFFSET($BN$2,0,0,ROW()-1,60),ROW()-1,FALSE))</f>
        <v>20534.542000000001</v>
      </c>
      <c r="BK28">
        <f ca="1">IF(AND(ISNUMBER($BK$169),$B$145=1),$BK$169,HLOOKUP(INDIRECT(ADDRESS(2,COLUMN())),OFFSET($BN$2,0,0,ROW()-1,60),ROW()-1,FALSE))</f>
        <v>19260.206999999999</v>
      </c>
      <c r="BL28">
        <f ca="1">IF(AND(ISNUMBER($BL$169),$B$145=1),$BL$169,HLOOKUP(INDIRECT(ADDRESS(2,COLUMN())),OFFSET($BN$2,0,0,ROW()-1,60),ROW()-1,FALSE))</f>
        <v>25607.01</v>
      </c>
      <c r="BM28" t="str">
        <f ca="1">IF(AND(ISNUMBER($BM$169),$B$145=1),$BM$169,HLOOKUP(INDIRECT(ADDRESS(2,COLUMN())),OFFSET($BN$2,0,0,ROW()-1,60),ROW()-1,FALSE))</f>
        <v/>
      </c>
      <c r="BN28">
        <f>32764.804</f>
        <v>32764.804</v>
      </c>
      <c r="BO28">
        <f>32834.57</f>
        <v>32834.57</v>
      </c>
      <c r="BP28">
        <f>31938.107</f>
        <v>31938.107</v>
      </c>
      <c r="BQ28">
        <f>31186.589</f>
        <v>31186.589</v>
      </c>
      <c r="BR28">
        <f>29777.316</f>
        <v>29777.315999999999</v>
      </c>
      <c r="BS28">
        <f>25068.662</f>
        <v>25068.662</v>
      </c>
      <c r="BT28">
        <f>24754.549</f>
        <v>24754.548999999999</v>
      </c>
      <c r="BU28">
        <f>23844.717</f>
        <v>23844.717000000001</v>
      </c>
      <c r="BV28">
        <f>24006.589</f>
        <v>24006.589</v>
      </c>
      <c r="BW28">
        <f>23477.709</f>
        <v>23477.708999999999</v>
      </c>
      <c r="BX28">
        <f>24961.437</f>
        <v>24961.437000000002</v>
      </c>
      <c r="BY28">
        <f>25318.882</f>
        <v>25318.882000000001</v>
      </c>
      <c r="BZ28">
        <f>26066.771</f>
        <v>26066.771000000001</v>
      </c>
      <c r="CA28">
        <f>24910.557</f>
        <v>24910.557000000001</v>
      </c>
      <c r="CB28">
        <f>24583.025</f>
        <v>24583.025000000001</v>
      </c>
      <c r="CC28">
        <f>24466.614</f>
        <v>24466.614000000001</v>
      </c>
      <c r="CD28">
        <f>22942.361</f>
        <v>22942.361000000001</v>
      </c>
      <c r="CE28">
        <f>22884.385</f>
        <v>22884.384999999998</v>
      </c>
      <c r="CF28">
        <f>22143.732</f>
        <v>22143.732</v>
      </c>
      <c r="CG28">
        <f>22307.135</f>
        <v>22307.134999999998</v>
      </c>
      <c r="CH28">
        <f>20612.675</f>
        <v>20612.674999999999</v>
      </c>
      <c r="CI28">
        <f>21502.073</f>
        <v>21502.073</v>
      </c>
      <c r="CJ28">
        <f>21697.963</f>
        <v>21697.963</v>
      </c>
      <c r="CK28">
        <f>21503.913</f>
        <v>21503.913</v>
      </c>
      <c r="CL28">
        <f>19894.929</f>
        <v>19894.929</v>
      </c>
      <c r="CM28">
        <f>20152.172</f>
        <v>20152.171999999999</v>
      </c>
      <c r="CN28">
        <f>20156.664</f>
        <v>20156.664000000001</v>
      </c>
      <c r="CO28">
        <f>19957.912</f>
        <v>19957.912</v>
      </c>
      <c r="CP28">
        <f>20157.086</f>
        <v>20157.085999999999</v>
      </c>
      <c r="CQ28">
        <f>19982.162</f>
        <v>19982.162</v>
      </c>
      <c r="CR28">
        <f>19257.489</f>
        <v>19257.489000000001</v>
      </c>
      <c r="CS28">
        <f>19964.079</f>
        <v>19964.079000000002</v>
      </c>
      <c r="CT28">
        <f>19484.053</f>
        <v>19484.053</v>
      </c>
      <c r="CU28">
        <f>19408.247</f>
        <v>19408.246999999999</v>
      </c>
      <c r="CV28">
        <f>18461.354</f>
        <v>18461.353999999999</v>
      </c>
      <c r="CW28">
        <f>17946.612</f>
        <v>17946.612000000001</v>
      </c>
      <c r="CX28">
        <f>17866.702</f>
        <v>17866.702000000001</v>
      </c>
      <c r="CY28">
        <f>18179.499</f>
        <v>18179.499</v>
      </c>
      <c r="CZ28">
        <f>18645.18</f>
        <v>18645.18</v>
      </c>
      <c r="DA28">
        <f>19023.801</f>
        <v>19023.800999999999</v>
      </c>
      <c r="DB28">
        <f>18638.577</f>
        <v>18638.577000000001</v>
      </c>
      <c r="DC28">
        <f>18649.474</f>
        <v>18649.473999999998</v>
      </c>
      <c r="DD28">
        <f>18476.127</f>
        <v>18476.127</v>
      </c>
      <c r="DE28">
        <f>18395.395</f>
        <v>18395.395</v>
      </c>
      <c r="DF28">
        <f>15977.601</f>
        <v>15977.601000000001</v>
      </c>
      <c r="DG28">
        <f>19871.34</f>
        <v>19871.34</v>
      </c>
      <c r="DH28">
        <f>16416.564</f>
        <v>16416.563999999998</v>
      </c>
      <c r="DI28">
        <f>17054.381</f>
        <v>17054.381000000001</v>
      </c>
      <c r="DJ28">
        <f>18343.531</f>
        <v>18343.530999999999</v>
      </c>
      <c r="DK28">
        <f>20256.067</f>
        <v>20256.066999999999</v>
      </c>
      <c r="DL28">
        <f>21082.25</f>
        <v>21082.25</v>
      </c>
      <c r="DM28">
        <f>21695.456</f>
        <v>21695.455999999998</v>
      </c>
      <c r="DN28">
        <f>22137.342</f>
        <v>22137.342000000001</v>
      </c>
      <c r="DO28">
        <f>20891.615</f>
        <v>20891.615000000002</v>
      </c>
      <c r="DP28">
        <f>21776.703</f>
        <v>21776.703000000001</v>
      </c>
      <c r="DQ28">
        <f>22552.112</f>
        <v>22552.112000000001</v>
      </c>
      <c r="DR28">
        <f>20534.542</f>
        <v>20534.542000000001</v>
      </c>
      <c r="DS28">
        <f>19260.207</f>
        <v>19260.206999999999</v>
      </c>
      <c r="DT28">
        <f>25607.01</f>
        <v>25607.01</v>
      </c>
      <c r="DU28" t="str">
        <f>""</f>
        <v/>
      </c>
    </row>
    <row r="29" spans="1:125" x14ac:dyDescent="0.25">
      <c r="A29" t="str">
        <f>"                Capital One Financial Corp"</f>
        <v xml:space="preserve">                Capital One Financial Corp</v>
      </c>
      <c r="B29" t="str">
        <f>"COF US Equity"</f>
        <v>COF US Equity</v>
      </c>
      <c r="C29" t="str">
        <f t="shared" si="3"/>
        <v>FC471</v>
      </c>
      <c r="D29" t="str">
        <f t="shared" si="4"/>
        <v>FDIC_SECS_AVAIL_FOR_SALE_MKT_VAL</v>
      </c>
      <c r="E29" t="str">
        <f t="shared" si="5"/>
        <v>Dynamic</v>
      </c>
      <c r="F29">
        <f ca="1">IF(AND(ISNUMBER($F$170),$B$145=1),$F$170,HLOOKUP(INDIRECT(ADDRESS(2,COLUMN())),OFFSET($BN$2,0,0,ROW()-1,60),ROW()-1,FALSE))</f>
        <v>83013.192999999999</v>
      </c>
      <c r="G29">
        <f ca="1">IF(AND(ISNUMBER($G$170),$B$145=1),$G$170,HLOOKUP(INDIRECT(ADDRESS(2,COLUMN())),OFFSET($BN$2,0,0,ROW()-1,60),ROW()-1,FALSE))</f>
        <v>83500.428</v>
      </c>
      <c r="H29">
        <f ca="1">IF(AND(ISNUMBER($H$170),$B$145=1),$H$170,HLOOKUP(INDIRECT(ADDRESS(2,COLUMN())),OFFSET($BN$2,0,0,ROW()-1,60),ROW()-1,FALSE))</f>
        <v>79250.093999999997</v>
      </c>
      <c r="I29">
        <f ca="1">IF(AND(ISNUMBER($I$170),$B$145=1),$I$170,HLOOKUP(INDIRECT(ADDRESS(2,COLUMN())),OFFSET($BN$2,0,0,ROW()-1,60),ROW()-1,FALSE))</f>
        <v>78397.607000000004</v>
      </c>
      <c r="J29">
        <f ca="1">IF(AND(ISNUMBER($J$170),$B$145=1),$J$170,HLOOKUP(INDIRECT(ADDRESS(2,COLUMN())),OFFSET($BN$2,0,0,ROW()-1,60),ROW()-1,FALSE))</f>
        <v>79116.904999999999</v>
      </c>
      <c r="K29">
        <f ca="1">IF(AND(ISNUMBER($K$170),$B$145=1),$K$170,HLOOKUP(INDIRECT(ADDRESS(2,COLUMN())),OFFSET($BN$2,0,0,ROW()-1,60),ROW()-1,FALSE))</f>
        <v>74837.17</v>
      </c>
      <c r="L29">
        <f ca="1">IF(AND(ISNUMBER($L$170),$B$145=1),$L$170,HLOOKUP(INDIRECT(ADDRESS(2,COLUMN())),OFFSET($BN$2,0,0,ROW()-1,60),ROW()-1,FALSE))</f>
        <v>78411.740999999995</v>
      </c>
      <c r="M29">
        <f ca="1">IF(AND(ISNUMBER($M$170),$B$145=1),$M$170,HLOOKUP(INDIRECT(ADDRESS(2,COLUMN())),OFFSET($BN$2,0,0,ROW()-1,60),ROW()-1,FALSE))</f>
        <v>81925.274000000005</v>
      </c>
      <c r="N29">
        <f ca="1">IF(AND(ISNUMBER($N$170),$B$145=1),$N$170,HLOOKUP(INDIRECT(ADDRESS(2,COLUMN())),OFFSET($BN$2,0,0,ROW()-1,60),ROW()-1,FALSE))</f>
        <v>76918.626999999993</v>
      </c>
      <c r="O29">
        <f ca="1">IF(AND(ISNUMBER($O$170),$B$145=1),$O$170,HLOOKUP(INDIRECT(ADDRESS(2,COLUMN())),OFFSET($BN$2,0,0,ROW()-1,60),ROW()-1,FALSE))</f>
        <v>75302.820999999996</v>
      </c>
      <c r="P29">
        <f ca="1">IF(AND(ISNUMBER($P$170),$B$145=1),$P$170,HLOOKUP(INDIRECT(ADDRESS(2,COLUMN())),OFFSET($BN$2,0,0,ROW()-1,60),ROW()-1,FALSE))</f>
        <v>83022.126999999993</v>
      </c>
      <c r="Q29">
        <f ca="1">IF(AND(ISNUMBER($Q$170),$B$145=1),$Q$170,HLOOKUP(INDIRECT(ADDRESS(2,COLUMN())),OFFSET($BN$2,0,0,ROW()-1,60),ROW()-1,FALSE))</f>
        <v>89076.012000000002</v>
      </c>
      <c r="R29">
        <f ca="1">IF(AND(ISNUMBER($R$170),$B$145=1),$R$170,HLOOKUP(INDIRECT(ADDRESS(2,COLUMN())),OFFSET($BN$2,0,0,ROW()-1,60),ROW()-1,FALSE))</f>
        <v>95260.739000000001</v>
      </c>
      <c r="S29">
        <f ca="1">IF(AND(ISNUMBER($S$170),$B$145=1),$S$170,HLOOKUP(INDIRECT(ADDRESS(2,COLUMN())),OFFSET($BN$2,0,0,ROW()-1,60),ROW()-1,FALSE))</f>
        <v>98148.701000000001</v>
      </c>
      <c r="T29">
        <f ca="1">IF(AND(ISNUMBER($T$170),$B$145=1),$T$170,HLOOKUP(INDIRECT(ADDRESS(2,COLUMN())),OFFSET($BN$2,0,0,ROW()-1,60),ROW()-1,FALSE))</f>
        <v>101765.87699999999</v>
      </c>
      <c r="U29">
        <f ca="1">IF(AND(ISNUMBER($U$170),$B$145=1),$U$170,HLOOKUP(INDIRECT(ADDRESS(2,COLUMN())),OFFSET($BN$2,0,0,ROW()-1,60),ROW()-1,FALSE))</f>
        <v>99165.066999999995</v>
      </c>
      <c r="V29">
        <f ca="1">IF(AND(ISNUMBER($V$170),$B$145=1),$V$170,HLOOKUP(INDIRECT(ADDRESS(2,COLUMN())),OFFSET($BN$2,0,0,ROW()-1,60),ROW()-1,FALSE))</f>
        <v>100444.936</v>
      </c>
      <c r="W29">
        <f ca="1">IF(AND(ISNUMBER($W$170),$B$145=1),$W$170,HLOOKUP(INDIRECT(ADDRESS(2,COLUMN())),OFFSET($BN$2,0,0,ROW()-1,60),ROW()-1,FALSE))</f>
        <v>99852.72</v>
      </c>
      <c r="X29">
        <f ca="1">IF(AND(ISNUMBER($X$170),$B$145=1),$X$170,HLOOKUP(INDIRECT(ADDRESS(2,COLUMN())),OFFSET($BN$2,0,0,ROW()-1,60),ROW()-1,FALSE))</f>
        <v>87858.527000000002</v>
      </c>
      <c r="Y29">
        <f ca="1">IF(AND(ISNUMBER($Y$170),$B$145=1),$Y$170,HLOOKUP(INDIRECT(ADDRESS(2,COLUMN())),OFFSET($BN$2,0,0,ROW()-1,60),ROW()-1,FALSE))</f>
        <v>81423.326000000001</v>
      </c>
      <c r="Z29">
        <f ca="1">IF(AND(ISNUMBER($Z$170),$B$145=1),$Z$170,HLOOKUP(INDIRECT(ADDRESS(2,COLUMN())),OFFSET($BN$2,0,0,ROW()-1,60),ROW()-1,FALSE))</f>
        <v>79213.357999999993</v>
      </c>
      <c r="AA29">
        <f ca="1">IF(AND(ISNUMBER($AA$170),$B$145=1),$AA$170,HLOOKUP(INDIRECT(ADDRESS(2,COLUMN())),OFFSET($BN$2,0,0,ROW()-1,60),ROW()-1,FALSE))</f>
        <v>46217.607000000004</v>
      </c>
      <c r="AB29">
        <f ca="1">IF(AND(ISNUMBER($AB$170),$B$145=1),$AB$170,HLOOKUP(INDIRECT(ADDRESS(2,COLUMN())),OFFSET($BN$2,0,0,ROW()-1,60),ROW()-1,FALSE))</f>
        <v>45657.904000000002</v>
      </c>
      <c r="AC29">
        <f ca="1">IF(AND(ISNUMBER($AC$170),$B$145=1),$AC$170,HLOOKUP(INDIRECT(ADDRESS(2,COLUMN())),OFFSET($BN$2,0,0,ROW()-1,60),ROW()-1,FALSE))</f>
        <v>45888.267</v>
      </c>
      <c r="AD29">
        <f ca="1">IF(AND(ISNUMBER($AD$170),$B$145=1),$AD$170,HLOOKUP(INDIRECT(ADDRESS(2,COLUMN())),OFFSET($BN$2,0,0,ROW()-1,60),ROW()-1,FALSE))</f>
        <v>46149.624000000003</v>
      </c>
      <c r="AE29">
        <f ca="1">IF(AND(ISNUMBER($AE$170),$B$145=1),$AE$170,HLOOKUP(INDIRECT(ADDRESS(2,COLUMN())),OFFSET($BN$2,0,0,ROW()-1,60),ROW()-1,FALSE))</f>
        <v>47384.35</v>
      </c>
      <c r="AF29">
        <f ca="1">IF(AND(ISNUMBER($AF$170),$B$145=1),$AF$170,HLOOKUP(INDIRECT(ADDRESS(2,COLUMN())),OFFSET($BN$2,0,0,ROW()-1,60),ROW()-1,FALSE))</f>
        <v>50691.188999999998</v>
      </c>
      <c r="AG29">
        <f ca="1">IF(AND(ISNUMBER($AG$170),$B$145=1),$AG$170,HLOOKUP(INDIRECT(ADDRESS(2,COLUMN())),OFFSET($BN$2,0,0,ROW()-1,60),ROW()-1,FALSE))</f>
        <v>47152.796999999999</v>
      </c>
      <c r="AH29">
        <f ca="1">IF(AND(ISNUMBER($AH$170),$B$145=1),$AH$170,HLOOKUP(INDIRECT(ADDRESS(2,COLUMN())),OFFSET($BN$2,0,0,ROW()-1,60),ROW()-1,FALSE))</f>
        <v>37758.336000000003</v>
      </c>
      <c r="AI29">
        <f ca="1">IF(AND(ISNUMBER($AI$170),$B$145=1),$AI$170,HLOOKUP(INDIRECT(ADDRESS(2,COLUMN())),OFFSET($BN$2,0,0,ROW()-1,60),ROW()-1,FALSE))</f>
        <v>39811.587</v>
      </c>
      <c r="AJ29">
        <f ca="1">IF(AND(ISNUMBER($AJ$170),$B$145=1),$AJ$170,HLOOKUP(INDIRECT(ADDRESS(2,COLUMN())),OFFSET($BN$2,0,0,ROW()-1,60),ROW()-1,FALSE))</f>
        <v>41186.620000000003</v>
      </c>
      <c r="AK29">
        <f ca="1">IF(AND(ISNUMBER($AK$170),$B$145=1),$AK$170,HLOOKUP(INDIRECT(ADDRESS(2,COLUMN())),OFFSET($BN$2,0,0,ROW()-1,60),ROW()-1,FALSE))</f>
        <v>41322.82</v>
      </c>
      <c r="AL29">
        <f ca="1">IF(AND(ISNUMBER($AL$170),$B$145=1),$AL$170,HLOOKUP(INDIRECT(ADDRESS(2,COLUMN())),OFFSET($BN$2,0,0,ROW()-1,60),ROW()-1,FALSE))</f>
        <v>40799.824000000001</v>
      </c>
      <c r="AM29">
        <f ca="1">IF(AND(ISNUMBER($AM$170),$B$145=1),$AM$170,HLOOKUP(INDIRECT(ADDRESS(2,COLUMN())),OFFSET($BN$2,0,0,ROW()-1,60),ROW()-1,FALSE))</f>
        <v>41567.010999999999</v>
      </c>
      <c r="AN29">
        <f ca="1">IF(AND(ISNUMBER($AN$170),$B$145=1),$AN$170,HLOOKUP(INDIRECT(ADDRESS(2,COLUMN())),OFFSET($BN$2,0,0,ROW()-1,60),ROW()-1,FALSE))</f>
        <v>39958.779000000002</v>
      </c>
      <c r="AO29">
        <f ca="1">IF(AND(ISNUMBER($AO$170),$B$145=1),$AO$170,HLOOKUP(INDIRECT(ADDRESS(2,COLUMN())),OFFSET($BN$2,0,0,ROW()-1,60),ROW()-1,FALSE))</f>
        <v>40090.521000000001</v>
      </c>
      <c r="AP29">
        <f ca="1">IF(AND(ISNUMBER($AP$170),$B$145=1),$AP$170,HLOOKUP(INDIRECT(ADDRESS(2,COLUMN())),OFFSET($BN$2,0,0,ROW()-1,60),ROW()-1,FALSE))</f>
        <v>39059.531000000003</v>
      </c>
      <c r="AQ29">
        <f ca="1">IF(AND(ISNUMBER($AQ$170),$B$145=1),$AQ$170,HLOOKUP(INDIRECT(ADDRESS(2,COLUMN())),OFFSET($BN$2,0,0,ROW()-1,60),ROW()-1,FALSE))</f>
        <v>39430.760999999999</v>
      </c>
      <c r="AR29">
        <f ca="1">IF(AND(ISNUMBER($AR$170),$B$145=1),$AR$170,HLOOKUP(INDIRECT(ADDRESS(2,COLUMN())),OFFSET($BN$2,0,0,ROW()-1,60),ROW()-1,FALSE))</f>
        <v>39135.025999999998</v>
      </c>
      <c r="AS29">
        <f ca="1">IF(AND(ISNUMBER($AS$170),$B$145=1),$AS$170,HLOOKUP(INDIRECT(ADDRESS(2,COLUMN())),OFFSET($BN$2,0,0,ROW()-1,60),ROW()-1,FALSE))</f>
        <v>39319.163</v>
      </c>
      <c r="AT29">
        <f ca="1">IF(AND(ISNUMBER($AT$170),$B$145=1),$AT$170,HLOOKUP(INDIRECT(ADDRESS(2,COLUMN())),OFFSET($BN$2,0,0,ROW()-1,60),ROW()-1,FALSE))</f>
        <v>39506.811999999998</v>
      </c>
      <c r="AU29">
        <f ca="1">IF(AND(ISNUMBER($AU$170),$B$145=1),$AU$170,HLOOKUP(INDIRECT(ADDRESS(2,COLUMN())),OFFSET($BN$2,0,0,ROW()-1,60),ROW()-1,FALSE))</f>
        <v>39663.669000000002</v>
      </c>
      <c r="AV29">
        <f ca="1">IF(AND(ISNUMBER($AV$170),$B$145=1),$AV$170,HLOOKUP(INDIRECT(ADDRESS(2,COLUMN())),OFFSET($BN$2,0,0,ROW()-1,60),ROW()-1,FALSE))</f>
        <v>41111.17</v>
      </c>
      <c r="AW29">
        <f ca="1">IF(AND(ISNUMBER($AW$170),$B$145=1),$AW$170,HLOOKUP(INDIRECT(ADDRESS(2,COLUMN())),OFFSET($BN$2,0,0,ROW()-1,60),ROW()-1,FALSE))</f>
        <v>40718.781000000003</v>
      </c>
      <c r="AX29">
        <f ca="1">IF(AND(ISNUMBER($AX$170),$B$145=1),$AX$170,HLOOKUP(INDIRECT(ADDRESS(2,COLUMN())),OFFSET($BN$2,0,0,ROW()-1,60),ROW()-1,FALSE))</f>
        <v>41797.987999999998</v>
      </c>
      <c r="AY29">
        <f ca="1">IF(AND(ISNUMBER($AY$170),$B$145=1),$AY$170,HLOOKUP(INDIRECT(ADDRESS(2,COLUMN())),OFFSET($BN$2,0,0,ROW()-1,60),ROW()-1,FALSE))</f>
        <v>43130.841999999997</v>
      </c>
      <c r="AZ29">
        <f ca="1">IF(AND(ISNUMBER($AZ$170),$B$145=1),$AZ$170,HLOOKUP(INDIRECT(ADDRESS(2,COLUMN())),OFFSET($BN$2,0,0,ROW()-1,60),ROW()-1,FALSE))</f>
        <v>62600.260999999999</v>
      </c>
      <c r="BA29">
        <f ca="1">IF(AND(ISNUMBER($BA$170),$B$145=1),$BA$170,HLOOKUP(INDIRECT(ADDRESS(2,COLUMN())),OFFSET($BN$2,0,0,ROW()-1,60),ROW()-1,FALSE))</f>
        <v>64117.466</v>
      </c>
      <c r="BB29">
        <f ca="1">IF(AND(ISNUMBER($BB$170),$B$145=1),$BB$170,HLOOKUP(INDIRECT(ADDRESS(2,COLUMN())),OFFSET($BN$2,0,0,ROW()-1,60),ROW()-1,FALSE))</f>
        <v>64062.396999999997</v>
      </c>
      <c r="BC29">
        <f ca="1">IF(AND(ISNUMBER($BC$170),$B$145=1),$BC$170,HLOOKUP(INDIRECT(ADDRESS(2,COLUMN())),OFFSET($BN$2,0,0,ROW()-1,60),ROW()-1,FALSE))</f>
        <v>61575.953999999998</v>
      </c>
      <c r="BD29">
        <f ca="1">IF(AND(ISNUMBER($BD$170),$B$145=1),$BD$170,HLOOKUP(INDIRECT(ADDRESS(2,COLUMN())),OFFSET($BN$2,0,0,ROW()-1,60),ROW()-1,FALSE))</f>
        <v>55397.64</v>
      </c>
      <c r="BE29">
        <f ca="1">IF(AND(ISNUMBER($BE$170),$B$145=1),$BE$170,HLOOKUP(INDIRECT(ADDRESS(2,COLUMN())),OFFSET($BN$2,0,0,ROW()-1,60),ROW()-1,FALSE))</f>
        <v>60881.072</v>
      </c>
      <c r="BF29">
        <f ca="1">IF(AND(ISNUMBER($BF$170),$B$145=1),$BF$170,HLOOKUP(INDIRECT(ADDRESS(2,COLUMN())),OFFSET($BN$2,0,0,ROW()-1,60),ROW()-1,FALSE))</f>
        <v>38751.586000000003</v>
      </c>
      <c r="BG29">
        <f ca="1">IF(AND(ISNUMBER($BG$170),$B$145=1),$BG$170,HLOOKUP(INDIRECT(ADDRESS(2,COLUMN())),OFFSET($BN$2,0,0,ROW()-1,60),ROW()-1,FALSE))</f>
        <v>38537.264999999999</v>
      </c>
      <c r="BH29">
        <f ca="1">IF(AND(ISNUMBER($BH$170),$B$145=1),$BH$170,HLOOKUP(INDIRECT(ADDRESS(2,COLUMN())),OFFSET($BN$2,0,0,ROW()-1,60),ROW()-1,FALSE))</f>
        <v>39467.294999999998</v>
      </c>
      <c r="BI29">
        <f ca="1">IF(AND(ISNUMBER($BI$170),$B$145=1),$BI$170,HLOOKUP(INDIRECT(ADDRESS(2,COLUMN())),OFFSET($BN$2,0,0,ROW()-1,60),ROW()-1,FALSE))</f>
        <v>41559.788999999997</v>
      </c>
      <c r="BJ29">
        <f ca="1">IF(AND(ISNUMBER($BJ$170),$B$145=1),$BJ$170,HLOOKUP(INDIRECT(ADDRESS(2,COLUMN())),OFFSET($BN$2,0,0,ROW()-1,60),ROW()-1,FALSE))</f>
        <v>41530.574000000001</v>
      </c>
      <c r="BK29">
        <f ca="1">IF(AND(ISNUMBER($BK$170),$B$145=1),$BK$170,HLOOKUP(INDIRECT(ADDRESS(2,COLUMN())),OFFSET($BN$2,0,0,ROW()-1,60),ROW()-1,FALSE))</f>
        <v>40074.542999999998</v>
      </c>
      <c r="BL29">
        <f ca="1">IF(AND(ISNUMBER($BL$170),$B$145=1),$BL$170,HLOOKUP(INDIRECT(ADDRESS(2,COLUMN())),OFFSET($BN$2,0,0,ROW()-1,60),ROW()-1,FALSE))</f>
        <v>39566.559000000001</v>
      </c>
      <c r="BM29" t="str">
        <f ca="1">IF(AND(ISNUMBER($BM$170),$B$145=1),$BM$170,HLOOKUP(INDIRECT(ADDRESS(2,COLUMN())),OFFSET($BN$2,0,0,ROW()-1,60),ROW()-1,FALSE))</f>
        <v/>
      </c>
      <c r="BN29">
        <f>83013.193</f>
        <v>83013.192999999999</v>
      </c>
      <c r="BO29">
        <f>83500.428</f>
        <v>83500.428</v>
      </c>
      <c r="BP29">
        <f>79250.094</f>
        <v>79250.093999999997</v>
      </c>
      <c r="BQ29">
        <f>78397.607</f>
        <v>78397.607000000004</v>
      </c>
      <c r="BR29">
        <f>79116.905</f>
        <v>79116.904999999999</v>
      </c>
      <c r="BS29">
        <f>74837.17</f>
        <v>74837.17</v>
      </c>
      <c r="BT29">
        <f>78411.741</f>
        <v>78411.740999999995</v>
      </c>
      <c r="BU29">
        <f>81925.274</f>
        <v>81925.274000000005</v>
      </c>
      <c r="BV29">
        <f>76918.627</f>
        <v>76918.626999999993</v>
      </c>
      <c r="BW29">
        <f>75302.821</f>
        <v>75302.820999999996</v>
      </c>
      <c r="BX29">
        <f>83022.127</f>
        <v>83022.126999999993</v>
      </c>
      <c r="BY29">
        <f>89076.012</f>
        <v>89076.012000000002</v>
      </c>
      <c r="BZ29">
        <f>95260.739</f>
        <v>95260.739000000001</v>
      </c>
      <c r="CA29">
        <f>98148.701</f>
        <v>98148.701000000001</v>
      </c>
      <c r="CB29">
        <f>101765.877</f>
        <v>101765.87699999999</v>
      </c>
      <c r="CC29">
        <f>99165.067</f>
        <v>99165.066999999995</v>
      </c>
      <c r="CD29">
        <f>100444.936</f>
        <v>100444.936</v>
      </c>
      <c r="CE29">
        <f>99852.72</f>
        <v>99852.72</v>
      </c>
      <c r="CF29">
        <f>87858.527</f>
        <v>87858.527000000002</v>
      </c>
      <c r="CG29">
        <f>81423.326</f>
        <v>81423.326000000001</v>
      </c>
      <c r="CH29">
        <f>79213.358</f>
        <v>79213.357999999993</v>
      </c>
      <c r="CI29">
        <f>46217.607</f>
        <v>46217.607000000004</v>
      </c>
      <c r="CJ29">
        <f>45657.904</f>
        <v>45657.904000000002</v>
      </c>
      <c r="CK29">
        <f>45888.267</f>
        <v>45888.267</v>
      </c>
      <c r="CL29">
        <f>46149.624</f>
        <v>46149.624000000003</v>
      </c>
      <c r="CM29">
        <f>47384.35</f>
        <v>47384.35</v>
      </c>
      <c r="CN29">
        <f>50691.189</f>
        <v>50691.188999999998</v>
      </c>
      <c r="CO29">
        <f>47152.797</f>
        <v>47152.796999999999</v>
      </c>
      <c r="CP29">
        <f>37758.336</f>
        <v>37758.336000000003</v>
      </c>
      <c r="CQ29">
        <f>39811.587</f>
        <v>39811.587</v>
      </c>
      <c r="CR29">
        <f>41186.62</f>
        <v>41186.620000000003</v>
      </c>
      <c r="CS29">
        <f>41322.82</f>
        <v>41322.82</v>
      </c>
      <c r="CT29">
        <f>40799.824</f>
        <v>40799.824000000001</v>
      </c>
      <c r="CU29">
        <f>41567.011</f>
        <v>41567.010999999999</v>
      </c>
      <c r="CV29">
        <f>39958.779</f>
        <v>39958.779000000002</v>
      </c>
      <c r="CW29">
        <f>40090.521</f>
        <v>40090.521000000001</v>
      </c>
      <c r="CX29">
        <f>39059.531</f>
        <v>39059.531000000003</v>
      </c>
      <c r="CY29">
        <f>39430.761</f>
        <v>39430.760999999999</v>
      </c>
      <c r="CZ29">
        <f>39135.026</f>
        <v>39135.025999999998</v>
      </c>
      <c r="DA29">
        <f>39319.163</f>
        <v>39319.163</v>
      </c>
      <c r="DB29">
        <f>39506.812</f>
        <v>39506.811999999998</v>
      </c>
      <c r="DC29">
        <f>39663.669</f>
        <v>39663.669000000002</v>
      </c>
      <c r="DD29">
        <f>41111.17</f>
        <v>41111.17</v>
      </c>
      <c r="DE29">
        <f>40718.781</f>
        <v>40718.781000000003</v>
      </c>
      <c r="DF29">
        <f>41797.988</f>
        <v>41797.987999999998</v>
      </c>
      <c r="DG29">
        <f>43130.842</f>
        <v>43130.841999999997</v>
      </c>
      <c r="DH29">
        <f>62600.261</f>
        <v>62600.260999999999</v>
      </c>
      <c r="DI29">
        <f>64117.466</f>
        <v>64117.466</v>
      </c>
      <c r="DJ29">
        <f>64062.397</f>
        <v>64062.396999999997</v>
      </c>
      <c r="DK29">
        <f>61575.954</f>
        <v>61575.953999999998</v>
      </c>
      <c r="DL29">
        <f>55397.64</f>
        <v>55397.64</v>
      </c>
      <c r="DM29">
        <f>60881.072</f>
        <v>60881.072</v>
      </c>
      <c r="DN29">
        <f>38751.586</f>
        <v>38751.586000000003</v>
      </c>
      <c r="DO29">
        <f>38537.265</f>
        <v>38537.264999999999</v>
      </c>
      <c r="DP29">
        <f>39467.295</f>
        <v>39467.294999999998</v>
      </c>
      <c r="DQ29">
        <f>41559.789</f>
        <v>41559.788999999997</v>
      </c>
      <c r="DR29">
        <f>41530.574</f>
        <v>41530.574000000001</v>
      </c>
      <c r="DS29">
        <f>40074.543</f>
        <v>40074.542999999998</v>
      </c>
      <c r="DT29">
        <f>39566.559</f>
        <v>39566.559000000001</v>
      </c>
      <c r="DU29" t="str">
        <f>""</f>
        <v/>
      </c>
    </row>
    <row r="30" spans="1:125" x14ac:dyDescent="0.25">
      <c r="A30" t="str">
        <f>"                Comerica Inc"</f>
        <v xml:space="preserve">                Comerica Inc</v>
      </c>
      <c r="B30" t="str">
        <f>"CMA US Equity"</f>
        <v>CMA US Equity</v>
      </c>
      <c r="C30" t="str">
        <f t="shared" si="3"/>
        <v>FC471</v>
      </c>
      <c r="D30" t="str">
        <f t="shared" si="4"/>
        <v>FDIC_SECS_AVAIL_FOR_SALE_MKT_VAL</v>
      </c>
      <c r="E30" t="str">
        <f t="shared" si="5"/>
        <v>Dynamic</v>
      </c>
      <c r="F30" t="str">
        <f ca="1">IF(AND(ISNUMBER($F$171),$B$145=1),$F$171,HLOOKUP(INDIRECT(ADDRESS(2,COLUMN())),OFFSET($BN$2,0,0,ROW()-1,60),ROW()-1,FALSE))</f>
        <v/>
      </c>
      <c r="G30" t="str">
        <f ca="1">IF(AND(ISNUMBER($G$171),$B$145=1),$G$171,HLOOKUP(INDIRECT(ADDRESS(2,COLUMN())),OFFSET($BN$2,0,0,ROW()-1,60),ROW()-1,FALSE))</f>
        <v/>
      </c>
      <c r="H30">
        <f ca="1">IF(AND(ISNUMBER($H$171),$B$145=1),$H$171,HLOOKUP(INDIRECT(ADDRESS(2,COLUMN())),OFFSET($BN$2,0,0,ROW()-1,60),ROW()-1,FALSE))</f>
        <v>15656</v>
      </c>
      <c r="I30">
        <f ca="1">IF(AND(ISNUMBER($I$171),$B$145=1),$I$171,HLOOKUP(INDIRECT(ADDRESS(2,COLUMN())),OFFSET($BN$2,0,0,ROW()-1,60),ROW()-1,FALSE))</f>
        <v>16245</v>
      </c>
      <c r="J30">
        <f ca="1">IF(AND(ISNUMBER($J$171),$B$145=1),$J$171,HLOOKUP(INDIRECT(ADDRESS(2,COLUMN())),OFFSET($BN$2,0,0,ROW()-1,60),ROW()-1,FALSE))</f>
        <v>16869</v>
      </c>
      <c r="K30">
        <f ca="1">IF(AND(ISNUMBER($K$171),$B$145=1),$K$171,HLOOKUP(INDIRECT(ADDRESS(2,COLUMN())),OFFSET($BN$2,0,0,ROW()-1,60),ROW()-1,FALSE))</f>
        <v>16323</v>
      </c>
      <c r="L30">
        <f ca="1">IF(AND(ISNUMBER($L$171),$B$145=1),$L$171,HLOOKUP(INDIRECT(ADDRESS(2,COLUMN())),OFFSET($BN$2,0,0,ROW()-1,60),ROW()-1,FALSE))</f>
        <v>17415</v>
      </c>
      <c r="M30">
        <f ca="1">IF(AND(ISNUMBER($M$171),$B$145=1),$M$171,HLOOKUP(INDIRECT(ADDRESS(2,COLUMN())),OFFSET($BN$2,0,0,ROW()-1,60),ROW()-1,FALSE))</f>
        <v>18295</v>
      </c>
      <c r="N30">
        <f ca="1">IF(AND(ISNUMBER($N$171),$B$145=1),$N$171,HLOOKUP(INDIRECT(ADDRESS(2,COLUMN())),OFFSET($BN$2,0,0,ROW()-1,60),ROW()-1,FALSE))</f>
        <v>19012</v>
      </c>
      <c r="O30">
        <f ca="1">IF(AND(ISNUMBER($O$171),$B$145=1),$O$171,HLOOKUP(INDIRECT(ADDRESS(2,COLUMN())),OFFSET($BN$2,0,0,ROW()-1,60),ROW()-1,FALSE))</f>
        <v>19452</v>
      </c>
      <c r="P30">
        <f ca="1">IF(AND(ISNUMBER($P$171),$B$145=1),$P$171,HLOOKUP(INDIRECT(ADDRESS(2,COLUMN())),OFFSET($BN$2,0,0,ROW()-1,60),ROW()-1,FALSE))</f>
        <v>20829</v>
      </c>
      <c r="Q30">
        <f ca="1">IF(AND(ISNUMBER($Q$171),$B$145=1),$Q$171,HLOOKUP(INDIRECT(ADDRESS(2,COLUMN())),OFFSET($BN$2,0,0,ROW()-1,60),ROW()-1,FALSE))</f>
        <v>18810</v>
      </c>
      <c r="R30">
        <f ca="1">IF(AND(ISNUMBER($R$171),$B$145=1),$R$171,HLOOKUP(INDIRECT(ADDRESS(2,COLUMN())),OFFSET($BN$2,0,0,ROW()-1,60),ROW()-1,FALSE))</f>
        <v>16986</v>
      </c>
      <c r="S30">
        <f ca="1">IF(AND(ISNUMBER($S$171),$B$145=1),$S$171,HLOOKUP(INDIRECT(ADDRESS(2,COLUMN())),OFFSET($BN$2,0,0,ROW()-1,60),ROW()-1,FALSE))</f>
        <v>16846</v>
      </c>
      <c r="T30">
        <f ca="1">IF(AND(ISNUMBER($T$171),$B$145=1),$T$171,HLOOKUP(INDIRECT(ADDRESS(2,COLUMN())),OFFSET($BN$2,0,0,ROW()-1,60),ROW()-1,FALSE))</f>
        <v>15837</v>
      </c>
      <c r="U30">
        <f ca="1">IF(AND(ISNUMBER($U$171),$B$145=1),$U$171,HLOOKUP(INDIRECT(ADDRESS(2,COLUMN())),OFFSET($BN$2,0,0,ROW()-1,60),ROW()-1,FALSE))</f>
        <v>15595</v>
      </c>
      <c r="V30">
        <f ca="1">IF(AND(ISNUMBER($V$171),$B$145=1),$V$171,HLOOKUP(INDIRECT(ADDRESS(2,COLUMN())),OFFSET($BN$2,0,0,ROW()-1,60),ROW()-1,FALSE))</f>
        <v>15028</v>
      </c>
      <c r="W30">
        <f ca="1">IF(AND(ISNUMBER($W$171),$B$145=1),$W$171,HLOOKUP(INDIRECT(ADDRESS(2,COLUMN())),OFFSET($BN$2,0,0,ROW()-1,60),ROW()-1,FALSE))</f>
        <v>15090</v>
      </c>
      <c r="X30">
        <f ca="1">IF(AND(ISNUMBER($X$171),$B$145=1),$X$171,HLOOKUP(INDIRECT(ADDRESS(2,COLUMN())),OFFSET($BN$2,0,0,ROW()-1,60),ROW()-1,FALSE))</f>
        <v>12759</v>
      </c>
      <c r="Y30">
        <f ca="1">IF(AND(ISNUMBER($Y$171),$B$145=1),$Y$171,HLOOKUP(INDIRECT(ADDRESS(2,COLUMN())),OFFSET($BN$2,0,0,ROW()-1,60),ROW()-1,FALSE))</f>
        <v>13041</v>
      </c>
      <c r="Z30">
        <f ca="1">IF(AND(ISNUMBER($Z$171),$B$145=1),$Z$171,HLOOKUP(INDIRECT(ADDRESS(2,COLUMN())),OFFSET($BN$2,0,0,ROW()-1,60),ROW()-1,FALSE))</f>
        <v>12398</v>
      </c>
      <c r="AA30">
        <f ca="1">IF(AND(ISNUMBER($AA$171),$B$145=1),$AA$171,HLOOKUP(INDIRECT(ADDRESS(2,COLUMN())),OFFSET($BN$2,0,0,ROW()-1,60),ROW()-1,FALSE))</f>
        <v>12429</v>
      </c>
      <c r="AB30">
        <f ca="1">IF(AND(ISNUMBER($AB$171),$B$145=1),$AB$171,HLOOKUP(INDIRECT(ADDRESS(2,COLUMN())),OFFSET($BN$2,0,0,ROW()-1,60),ROW()-1,FALSE))</f>
        <v>12338</v>
      </c>
      <c r="AC30">
        <f ca="1">IF(AND(ISNUMBER($AC$171),$B$145=1),$AC$171,HLOOKUP(INDIRECT(ADDRESS(2,COLUMN())),OFFSET($BN$2,0,0,ROW()-1,60),ROW()-1,FALSE))</f>
        <v>12212</v>
      </c>
      <c r="AD30">
        <f ca="1">IF(AND(ISNUMBER($AD$171),$B$145=1),$AD$171,HLOOKUP(INDIRECT(ADDRESS(2,COLUMN())),OFFSET($BN$2,0,0,ROW()-1,60),ROW()-1,FALSE))</f>
        <v>12044.833000000001</v>
      </c>
      <c r="AE30">
        <f ca="1">IF(AND(ISNUMBER($AE$171),$B$145=1),$AE$171,HLOOKUP(INDIRECT(ADDRESS(2,COLUMN())),OFFSET($BN$2,0,0,ROW()-1,60),ROW()-1,FALSE))</f>
        <v>11861.661</v>
      </c>
      <c r="AF30">
        <f ca="1">IF(AND(ISNUMBER($AF$171),$B$145=1),$AF$171,HLOOKUP(INDIRECT(ADDRESS(2,COLUMN())),OFFSET($BN$2,0,0,ROW()-1,60),ROW()-1,FALSE))</f>
        <v>11914.86</v>
      </c>
      <c r="AG30">
        <f ca="1">IF(AND(ISNUMBER($AG$171),$B$145=1),$AG$171,HLOOKUP(INDIRECT(ADDRESS(2,COLUMN())),OFFSET($BN$2,0,0,ROW()-1,60),ROW()-1,FALSE))</f>
        <v>11971.115</v>
      </c>
      <c r="AH30">
        <f ca="1">IF(AND(ISNUMBER($AH$171),$B$145=1),$AH$171,HLOOKUP(INDIRECT(ADDRESS(2,COLUMN())),OFFSET($BN$2,0,0,ROW()-1,60),ROW()-1,FALSE))</f>
        <v>10937.888000000001</v>
      </c>
      <c r="AI30">
        <f ca="1">IF(AND(ISNUMBER($AI$171),$B$145=1),$AI$171,HLOOKUP(INDIRECT(ADDRESS(2,COLUMN())),OFFSET($BN$2,0,0,ROW()-1,60),ROW()-1,FALSE))</f>
        <v>10997.633</v>
      </c>
      <c r="AJ30">
        <f ca="1">IF(AND(ISNUMBER($AJ$171),$B$145=1),$AJ$171,HLOOKUP(INDIRECT(ADDRESS(2,COLUMN())),OFFSET($BN$2,0,0,ROW()-1,60),ROW()-1,FALSE))</f>
        <v>10943.887000000001</v>
      </c>
      <c r="AK30">
        <f ca="1">IF(AND(ISNUMBER($AK$171),$B$145=1),$AK$171,HLOOKUP(INDIRECT(ADDRESS(2,COLUMN())),OFFSET($BN$2,0,0,ROW()-1,60),ROW()-1,FALSE))</f>
        <v>10829.814</v>
      </c>
      <c r="AL30">
        <f ca="1">IF(AND(ISNUMBER($AL$171),$B$145=1),$AL$171,HLOOKUP(INDIRECT(ADDRESS(2,COLUMN())),OFFSET($BN$2,0,0,ROW()-1,60),ROW()-1,FALSE))</f>
        <v>10786.535</v>
      </c>
      <c r="AM30">
        <f ca="1">IF(AND(ISNUMBER($AM$171),$B$145=1),$AM$171,HLOOKUP(INDIRECT(ADDRESS(2,COLUMN())),OFFSET($BN$2,0,0,ROW()-1,60),ROW()-1,FALSE))</f>
        <v>10789.261</v>
      </c>
      <c r="AN30">
        <f ca="1">IF(AND(ISNUMBER($AN$171),$B$145=1),$AN$171,HLOOKUP(INDIRECT(ADDRESS(2,COLUMN())),OFFSET($BN$2,0,0,ROW()-1,60),ROW()-1,FALSE))</f>
        <v>10711.936</v>
      </c>
      <c r="AO30">
        <f ca="1">IF(AND(ISNUMBER($AO$171),$B$145=1),$AO$171,HLOOKUP(INDIRECT(ADDRESS(2,COLUMN())),OFFSET($BN$2,0,0,ROW()-1,60),ROW()-1,FALSE))</f>
        <v>10606.41</v>
      </c>
      <c r="AP30">
        <f ca="1">IF(AND(ISNUMBER($AP$171),$B$145=1),$AP$171,HLOOKUP(INDIRECT(ADDRESS(2,COLUMN())),OFFSET($BN$2,0,0,ROW()-1,60),ROW()-1,FALSE))</f>
        <v>10519.111999999999</v>
      </c>
      <c r="AQ30">
        <f ca="1">IF(AND(ISNUMBER($AQ$171),$B$145=1),$AQ$171,HLOOKUP(INDIRECT(ADDRESS(2,COLUMN())),OFFSET($BN$2,0,0,ROW()-1,60),ROW()-1,FALSE))</f>
        <v>8748.6440000000002</v>
      </c>
      <c r="AR30">
        <f ca="1">IF(AND(ISNUMBER($AR$171),$B$145=1),$AR$171,HLOOKUP(INDIRECT(ADDRESS(2,COLUMN())),OFFSET($BN$2,0,0,ROW()-1,60),ROW()-1,FALSE))</f>
        <v>8267.4249999999993</v>
      </c>
      <c r="AS30">
        <f ca="1">IF(AND(ISNUMBER($AS$171),$B$145=1),$AS$171,HLOOKUP(INDIRECT(ADDRESS(2,COLUMN())),OFFSET($BN$2,0,0,ROW()-1,60),ROW()-1,FALSE))</f>
        <v>8213.6129999999994</v>
      </c>
      <c r="AT30">
        <f ca="1">IF(AND(ISNUMBER($AT$171),$B$145=1),$AT$171,HLOOKUP(INDIRECT(ADDRESS(2,COLUMN())),OFFSET($BN$2,0,0,ROW()-1,60),ROW()-1,FALSE))</f>
        <v>8115.7839999999997</v>
      </c>
      <c r="AU30">
        <f ca="1">IF(AND(ISNUMBER($AU$171),$B$145=1),$AU$171,HLOOKUP(INDIRECT(ADDRESS(2,COLUMN())),OFFSET($BN$2,0,0,ROW()-1,60),ROW()-1,FALSE))</f>
        <v>9468.4770000000008</v>
      </c>
      <c r="AV30">
        <f ca="1">IF(AND(ISNUMBER($AV$171),$B$145=1),$AV$171,HLOOKUP(INDIRECT(ADDRESS(2,COLUMN())),OFFSET($BN$2,0,0,ROW()-1,60),ROW()-1,FALSE))</f>
        <v>9534.2690000000002</v>
      </c>
      <c r="AW30">
        <f ca="1">IF(AND(ISNUMBER($AW$171),$B$145=1),$AW$171,HLOOKUP(INDIRECT(ADDRESS(2,COLUMN())),OFFSET($BN$2,0,0,ROW()-1,60),ROW()-1,FALSE))</f>
        <v>9486.9150000000009</v>
      </c>
      <c r="AX30">
        <f ca="1">IF(AND(ISNUMBER($AX$171),$B$145=1),$AX$171,HLOOKUP(INDIRECT(ADDRESS(2,COLUMN())),OFFSET($BN$2,0,0,ROW()-1,60),ROW()-1,FALSE))</f>
        <v>9306.8240000000005</v>
      </c>
      <c r="AY30">
        <f ca="1">IF(AND(ISNUMBER($AY$171),$B$145=1),$AY$171,HLOOKUP(INDIRECT(ADDRESS(2,COLUMN())),OFFSET($BN$2,0,0,ROW()-1,60),ROW()-1,FALSE))</f>
        <v>9487.8070000000007</v>
      </c>
      <c r="AZ30">
        <f ca="1">IF(AND(ISNUMBER($AZ$171),$B$145=1),$AZ$171,HLOOKUP(INDIRECT(ADDRESS(2,COLUMN())),OFFSET($BN$2,0,0,ROW()-1,60),ROW()-1,FALSE))</f>
        <v>9630.8960000000006</v>
      </c>
      <c r="BA30">
        <f ca="1">IF(AND(ISNUMBER($BA$171),$B$145=1),$BA$171,HLOOKUP(INDIRECT(ADDRESS(2,COLUMN())),OFFSET($BN$2,0,0,ROW()-1,60),ROW()-1,FALSE))</f>
        <v>10285.710999999999</v>
      </c>
      <c r="BB30">
        <f ca="1">IF(AND(ISNUMBER($BB$171),$B$145=1),$BB$171,HLOOKUP(INDIRECT(ADDRESS(2,COLUMN())),OFFSET($BN$2,0,0,ROW()-1,60),ROW()-1,FALSE))</f>
        <v>10296.532999999999</v>
      </c>
      <c r="BC30">
        <f ca="1">IF(AND(ISNUMBER($BC$171),$B$145=1),$BC$171,HLOOKUP(INDIRECT(ADDRESS(2,COLUMN())),OFFSET($BN$2,0,0,ROW()-1,60),ROW()-1,FALSE))</f>
        <v>10569.708000000001</v>
      </c>
      <c r="BD30">
        <f ca="1">IF(AND(ISNUMBER($BD$171),$B$145=1),$BD$171,HLOOKUP(INDIRECT(ADDRESS(2,COLUMN())),OFFSET($BN$2,0,0,ROW()-1,60),ROW()-1,FALSE))</f>
        <v>9939.7080000000005</v>
      </c>
      <c r="BE30">
        <f ca="1">IF(AND(ISNUMBER($BE$171),$B$145=1),$BE$171,HLOOKUP(INDIRECT(ADDRESS(2,COLUMN())),OFFSET($BN$2,0,0,ROW()-1,60),ROW()-1,FALSE))</f>
        <v>10060.642</v>
      </c>
      <c r="BF30">
        <f ca="1">IF(AND(ISNUMBER($BF$171),$B$145=1),$BF$171,HLOOKUP(INDIRECT(ADDRESS(2,COLUMN())),OFFSET($BN$2,0,0,ROW()-1,60),ROW()-1,FALSE))</f>
        <v>10103.412</v>
      </c>
      <c r="BG30">
        <f ca="1">IF(AND(ISNUMBER($BG$171),$B$145=1),$BG$171,HLOOKUP(INDIRECT(ADDRESS(2,COLUMN())),OFFSET($BN$2,0,0,ROW()-1,60),ROW()-1,FALSE))</f>
        <v>9731.9220000000005</v>
      </c>
      <c r="BH30">
        <f ca="1">IF(AND(ISNUMBER($BH$171),$B$145=1),$BH$171,HLOOKUP(INDIRECT(ADDRESS(2,COLUMN())),OFFSET($BN$2,0,0,ROW()-1,60),ROW()-1,FALSE))</f>
        <v>7536.5240000000003</v>
      </c>
      <c r="BI30">
        <f ca="1">IF(AND(ISNUMBER($BI$171),$B$145=1),$BI$171,HLOOKUP(INDIRECT(ADDRESS(2,COLUMN())),OFFSET($BN$2,0,0,ROW()-1,60),ROW()-1,FALSE))</f>
        <v>7405.942</v>
      </c>
      <c r="BJ30">
        <f ca="1">IF(AND(ISNUMBER($BJ$171),$B$145=1),$BJ$171,HLOOKUP(INDIRECT(ADDRESS(2,COLUMN())),OFFSET($BN$2,0,0,ROW()-1,60),ROW()-1,FALSE))</f>
        <v>7559.9589999999998</v>
      </c>
      <c r="BK30">
        <f ca="1">IF(AND(ISNUMBER($BK$171),$B$145=1),$BK$171,HLOOKUP(INDIRECT(ADDRESS(2,COLUMN())),OFFSET($BN$2,0,0,ROW()-1,60),ROW()-1,FALSE))</f>
        <v>6816.02</v>
      </c>
      <c r="BL30">
        <f ca="1">IF(AND(ISNUMBER($BL$171),$B$145=1),$BL$171,HLOOKUP(INDIRECT(ADDRESS(2,COLUMN())),OFFSET($BN$2,0,0,ROW()-1,60),ROW()-1,FALSE))</f>
        <v>7187.9480000000003</v>
      </c>
      <c r="BM30">
        <f ca="1">IF(AND(ISNUMBER($BM$171),$B$145=1),$BM$171,HLOOKUP(INDIRECT(ADDRESS(2,COLUMN())),OFFSET($BN$2,0,0,ROW()-1,60),ROW()-1,FALSE))</f>
        <v>7346.2870000000003</v>
      </c>
      <c r="BN30" t="str">
        <f>""</f>
        <v/>
      </c>
      <c r="BO30" t="str">
        <f>""</f>
        <v/>
      </c>
      <c r="BP30">
        <f>15656</f>
        <v>15656</v>
      </c>
      <c r="BQ30">
        <f>16245</f>
        <v>16245</v>
      </c>
      <c r="BR30">
        <f>16869</f>
        <v>16869</v>
      </c>
      <c r="BS30">
        <f>16323</f>
        <v>16323</v>
      </c>
      <c r="BT30">
        <f>17415</f>
        <v>17415</v>
      </c>
      <c r="BU30">
        <f>18295</f>
        <v>18295</v>
      </c>
      <c r="BV30">
        <f>19012</f>
        <v>19012</v>
      </c>
      <c r="BW30">
        <f>19452</f>
        <v>19452</v>
      </c>
      <c r="BX30">
        <f>20829</f>
        <v>20829</v>
      </c>
      <c r="BY30">
        <f>18810</f>
        <v>18810</v>
      </c>
      <c r="BZ30">
        <f>16986</f>
        <v>16986</v>
      </c>
      <c r="CA30">
        <f>16846</f>
        <v>16846</v>
      </c>
      <c r="CB30">
        <f>15837</f>
        <v>15837</v>
      </c>
      <c r="CC30">
        <f>15595</f>
        <v>15595</v>
      </c>
      <c r="CD30">
        <f>15028</f>
        <v>15028</v>
      </c>
      <c r="CE30">
        <f>15090</f>
        <v>15090</v>
      </c>
      <c r="CF30">
        <f>12759</f>
        <v>12759</v>
      </c>
      <c r="CG30">
        <f>13041</f>
        <v>13041</v>
      </c>
      <c r="CH30">
        <f>12398</f>
        <v>12398</v>
      </c>
      <c r="CI30">
        <f>12429</f>
        <v>12429</v>
      </c>
      <c r="CJ30">
        <f>12338</f>
        <v>12338</v>
      </c>
      <c r="CK30">
        <f>12212</f>
        <v>12212</v>
      </c>
      <c r="CL30">
        <f>12044.833</f>
        <v>12044.833000000001</v>
      </c>
      <c r="CM30">
        <f>11861.661</f>
        <v>11861.661</v>
      </c>
      <c r="CN30">
        <f>11914.86</f>
        <v>11914.86</v>
      </c>
      <c r="CO30">
        <f>11971.115</f>
        <v>11971.115</v>
      </c>
      <c r="CP30">
        <f>10937.888</f>
        <v>10937.888000000001</v>
      </c>
      <c r="CQ30">
        <f>10997.633</f>
        <v>10997.633</v>
      </c>
      <c r="CR30">
        <f>10943.887</f>
        <v>10943.887000000001</v>
      </c>
      <c r="CS30">
        <f>10829.814</f>
        <v>10829.814</v>
      </c>
      <c r="CT30">
        <f>10786.535</f>
        <v>10786.535</v>
      </c>
      <c r="CU30">
        <f>10789.261</f>
        <v>10789.261</v>
      </c>
      <c r="CV30">
        <f>10711.936</f>
        <v>10711.936</v>
      </c>
      <c r="CW30">
        <f>10606.41</f>
        <v>10606.41</v>
      </c>
      <c r="CX30">
        <f>10519.112</f>
        <v>10519.111999999999</v>
      </c>
      <c r="CY30">
        <f>8748.644</f>
        <v>8748.6440000000002</v>
      </c>
      <c r="CZ30">
        <f>8267.425</f>
        <v>8267.4249999999993</v>
      </c>
      <c r="DA30">
        <f>8213.613</f>
        <v>8213.6129999999994</v>
      </c>
      <c r="DB30">
        <f>8115.784</f>
        <v>8115.7839999999997</v>
      </c>
      <c r="DC30">
        <f>9468.477</f>
        <v>9468.4770000000008</v>
      </c>
      <c r="DD30">
        <f>9534.269</f>
        <v>9534.2690000000002</v>
      </c>
      <c r="DE30">
        <f>9486.915</f>
        <v>9486.9150000000009</v>
      </c>
      <c r="DF30">
        <f>9306.824</f>
        <v>9306.8240000000005</v>
      </c>
      <c r="DG30">
        <f>9487.807</f>
        <v>9487.8070000000007</v>
      </c>
      <c r="DH30">
        <f>9630.896</f>
        <v>9630.8960000000006</v>
      </c>
      <c r="DI30">
        <f>10285.711</f>
        <v>10285.710999999999</v>
      </c>
      <c r="DJ30">
        <f>10296.533</f>
        <v>10296.532999999999</v>
      </c>
      <c r="DK30">
        <f>10569.708</f>
        <v>10569.708000000001</v>
      </c>
      <c r="DL30">
        <f>9939.708</f>
        <v>9939.7080000000005</v>
      </c>
      <c r="DM30">
        <f>10060.642</f>
        <v>10060.642</v>
      </c>
      <c r="DN30">
        <f>10103.412</f>
        <v>10103.412</v>
      </c>
      <c r="DO30">
        <f>9731.922</f>
        <v>9731.9220000000005</v>
      </c>
      <c r="DP30">
        <f>7536.524</f>
        <v>7536.5240000000003</v>
      </c>
      <c r="DQ30">
        <f>7405.942</f>
        <v>7405.942</v>
      </c>
      <c r="DR30">
        <f>7559.959</f>
        <v>7559.9589999999998</v>
      </c>
      <c r="DS30">
        <f>6816.02</f>
        <v>6816.02</v>
      </c>
      <c r="DT30">
        <f>7187.948</f>
        <v>7187.9480000000003</v>
      </c>
      <c r="DU30">
        <f>7346.287</f>
        <v>7346.2870000000003</v>
      </c>
    </row>
    <row r="31" spans="1:125" x14ac:dyDescent="0.25">
      <c r="A31" t="str">
        <f>"                East West Bancorp Inc"</f>
        <v xml:space="preserve">                East West Bancorp Inc</v>
      </c>
      <c r="B31" t="str">
        <f>"EWBC US Equity"</f>
        <v>EWBC US Equity</v>
      </c>
      <c r="C31" t="str">
        <f t="shared" si="3"/>
        <v>FC471</v>
      </c>
      <c r="D31" t="str">
        <f t="shared" si="4"/>
        <v>FDIC_SECS_AVAIL_FOR_SALE_MKT_VAL</v>
      </c>
      <c r="E31" t="str">
        <f t="shared" si="5"/>
        <v>Dynamic</v>
      </c>
      <c r="F31">
        <f ca="1">IF(AND(ISNUMBER($F$172),$B$145=1),$F$172,HLOOKUP(INDIRECT(ADDRESS(2,COLUMN())),OFFSET($BN$2,0,0,ROW()-1,60),ROW()-1,FALSE))</f>
        <v>10846.811</v>
      </c>
      <c r="G31">
        <f ca="1">IF(AND(ISNUMBER($G$172),$B$145=1),$G$172,HLOOKUP(INDIRECT(ADDRESS(2,COLUMN())),OFFSET($BN$2,0,0,ROW()-1,60),ROW()-1,FALSE))</f>
        <v>10133.877</v>
      </c>
      <c r="H31">
        <f ca="1">IF(AND(ISNUMBER($H$172),$B$145=1),$H$172,HLOOKUP(INDIRECT(ADDRESS(2,COLUMN())),OFFSET($BN$2,0,0,ROW()-1,60),ROW()-1,FALSE))</f>
        <v>8923.5280000000002</v>
      </c>
      <c r="I31">
        <f ca="1">IF(AND(ISNUMBER($I$172),$B$145=1),$I$172,HLOOKUP(INDIRECT(ADDRESS(2,COLUMN())),OFFSET($BN$2,0,0,ROW()-1,60),ROW()-1,FALSE))</f>
        <v>8400.4680000000008</v>
      </c>
      <c r="J31">
        <f ca="1">IF(AND(ISNUMBER($J$172),$B$145=1),$J$172,HLOOKUP(INDIRECT(ADDRESS(2,COLUMN())),OFFSET($BN$2,0,0,ROW()-1,60),ROW()-1,FALSE))</f>
        <v>6188.3370000000004</v>
      </c>
      <c r="K31">
        <f ca="1">IF(AND(ISNUMBER($K$172),$B$145=1),$K$172,HLOOKUP(INDIRECT(ADDRESS(2,COLUMN())),OFFSET($BN$2,0,0,ROW()-1,60),ROW()-1,FALSE))</f>
        <v>6039.8370000000004</v>
      </c>
      <c r="L31">
        <f ca="1">IF(AND(ISNUMBER($L$172),$B$145=1),$L$172,HLOOKUP(INDIRECT(ADDRESS(2,COLUMN())),OFFSET($BN$2,0,0,ROW()-1,60),ROW()-1,FALSE))</f>
        <v>5987.2579999999998</v>
      </c>
      <c r="M31">
        <f ca="1">IF(AND(ISNUMBER($M$172),$B$145=1),$M$172,HLOOKUP(INDIRECT(ADDRESS(2,COLUMN())),OFFSET($BN$2,0,0,ROW()-1,60),ROW()-1,FALSE))</f>
        <v>6300.8680000000004</v>
      </c>
      <c r="N31">
        <f ca="1">IF(AND(ISNUMBER($N$172),$B$145=1),$N$172,HLOOKUP(INDIRECT(ADDRESS(2,COLUMN())),OFFSET($BN$2,0,0,ROW()-1,60),ROW()-1,FALSE))</f>
        <v>6034.9930000000004</v>
      </c>
      <c r="O31">
        <f ca="1">IF(AND(ISNUMBER($O$172),$B$145=1),$O$172,HLOOKUP(INDIRECT(ADDRESS(2,COLUMN())),OFFSET($BN$2,0,0,ROW()-1,60),ROW()-1,FALSE))</f>
        <v>5906.09</v>
      </c>
      <c r="P31">
        <f ca="1">IF(AND(ISNUMBER($P$172),$B$145=1),$P$172,HLOOKUP(INDIRECT(ADDRESS(2,COLUMN())),OFFSET($BN$2,0,0,ROW()-1,60),ROW()-1,FALSE))</f>
        <v>6255.5039999999999</v>
      </c>
      <c r="Q31">
        <f ca="1">IF(AND(ISNUMBER($Q$172),$B$145=1),$Q$172,HLOOKUP(INDIRECT(ADDRESS(2,COLUMN())),OFFSET($BN$2,0,0,ROW()-1,60),ROW()-1,FALSE))</f>
        <v>6729.4309999999996</v>
      </c>
      <c r="R31">
        <f ca="1">IF(AND(ISNUMBER($R$172),$B$145=1),$R$172,HLOOKUP(INDIRECT(ADDRESS(2,COLUMN())),OFFSET($BN$2,0,0,ROW()-1,60),ROW()-1,FALSE))</f>
        <v>9965.3529999999992</v>
      </c>
      <c r="S31">
        <f ca="1">IF(AND(ISNUMBER($S$172),$B$145=1),$S$172,HLOOKUP(INDIRECT(ADDRESS(2,COLUMN())),OFFSET($BN$2,0,0,ROW()-1,60),ROW()-1,FALSE))</f>
        <v>9713.0059999999994</v>
      </c>
      <c r="T31">
        <f ca="1">IF(AND(ISNUMBER($T$172),$B$145=1),$T$172,HLOOKUP(INDIRECT(ADDRESS(2,COLUMN())),OFFSET($BN$2,0,0,ROW()-1,60),ROW()-1,FALSE))</f>
        <v>8399.4599999999991</v>
      </c>
      <c r="U31">
        <f ca="1">IF(AND(ISNUMBER($U$172),$B$145=1),$U$172,HLOOKUP(INDIRECT(ADDRESS(2,COLUMN())),OFFSET($BN$2,0,0,ROW()-1,60),ROW()-1,FALSE))</f>
        <v>7789.2129999999997</v>
      </c>
      <c r="V31">
        <f ca="1">IF(AND(ISNUMBER($V$172),$B$145=1),$V$172,HLOOKUP(INDIRECT(ADDRESS(2,COLUMN())),OFFSET($BN$2,0,0,ROW()-1,60),ROW()-1,FALSE))</f>
        <v>5544.6580000000004</v>
      </c>
      <c r="W31">
        <f ca="1">IF(AND(ISNUMBER($W$172),$B$145=1),$W$172,HLOOKUP(INDIRECT(ADDRESS(2,COLUMN())),OFFSET($BN$2,0,0,ROW()-1,60),ROW()-1,FALSE))</f>
        <v>4539.16</v>
      </c>
      <c r="X31">
        <f ca="1">IF(AND(ISNUMBER($X$172),$B$145=1),$X$172,HLOOKUP(INDIRECT(ADDRESS(2,COLUMN())),OFFSET($BN$2,0,0,ROW()-1,60),ROW()-1,FALSE))</f>
        <v>3884.5740000000001</v>
      </c>
      <c r="Y31">
        <f ca="1">IF(AND(ISNUMBER($Y$172),$B$145=1),$Y$172,HLOOKUP(INDIRECT(ADDRESS(2,COLUMN())),OFFSET($BN$2,0,0,ROW()-1,60),ROW()-1,FALSE))</f>
        <v>3695.9430000000002</v>
      </c>
      <c r="Z31">
        <f ca="1">IF(AND(ISNUMBER($Z$172),$B$145=1),$Z$172,HLOOKUP(INDIRECT(ADDRESS(2,COLUMN())),OFFSET($BN$2,0,0,ROW()-1,60),ROW()-1,FALSE))</f>
        <v>3317.2139999999999</v>
      </c>
      <c r="AA31">
        <f ca="1">IF(AND(ISNUMBER($AA$172),$B$145=1),$AA$172,HLOOKUP(INDIRECT(ADDRESS(2,COLUMN())),OFFSET($BN$2,0,0,ROW()-1,60),ROW()-1,FALSE))</f>
        <v>3284.0340000000001</v>
      </c>
      <c r="AB31">
        <f ca="1">IF(AND(ISNUMBER($AB$172),$B$145=1),$AB$172,HLOOKUP(INDIRECT(ADDRESS(2,COLUMN())),OFFSET($BN$2,0,0,ROW()-1,60),ROW()-1,FALSE))</f>
        <v>2592.913</v>
      </c>
      <c r="AC31">
        <f ca="1">IF(AND(ISNUMBER($AC$172),$B$145=1),$AC$172,HLOOKUP(INDIRECT(ADDRESS(2,COLUMN())),OFFSET($BN$2,0,0,ROW()-1,60),ROW()-1,FALSE))</f>
        <v>2640.1579999999999</v>
      </c>
      <c r="AD31">
        <f ca="1">IF(AND(ISNUMBER($AD$172),$B$145=1),$AD$172,HLOOKUP(INDIRECT(ADDRESS(2,COLUMN())),OFFSET($BN$2,0,0,ROW()-1,60),ROW()-1,FALSE))</f>
        <v>2741.8470000000002</v>
      </c>
      <c r="AE31">
        <f ca="1">IF(AND(ISNUMBER($AE$172),$B$145=1),$AE$172,HLOOKUP(INDIRECT(ADDRESS(2,COLUMN())),OFFSET($BN$2,0,0,ROW()-1,60),ROW()-1,FALSE))</f>
        <v>2676.51</v>
      </c>
      <c r="AF31">
        <f ca="1">IF(AND(ISNUMBER($AF$172),$B$145=1),$AF$172,HLOOKUP(INDIRECT(ADDRESS(2,COLUMN())),OFFSET($BN$2,0,0,ROW()-1,60),ROW()-1,FALSE))</f>
        <v>2707.444</v>
      </c>
      <c r="AG31">
        <f ca="1">IF(AND(ISNUMBER($AG$172),$B$145=1),$AG$172,HLOOKUP(INDIRECT(ADDRESS(2,COLUMN())),OFFSET($BN$2,0,0,ROW()-1,60),ROW()-1,FALSE))</f>
        <v>2811.4160000000002</v>
      </c>
      <c r="AH31">
        <f ca="1">IF(AND(ISNUMBER($AH$172),$B$145=1),$AH$172,HLOOKUP(INDIRECT(ADDRESS(2,COLUMN())),OFFSET($BN$2,0,0,ROW()-1,60),ROW()-1,FALSE))</f>
        <v>3016.752</v>
      </c>
      <c r="AI31">
        <f ca="1">IF(AND(ISNUMBER($AI$172),$B$145=1),$AI$172,HLOOKUP(INDIRECT(ADDRESS(2,COLUMN())),OFFSET($BN$2,0,0,ROW()-1,60),ROW()-1,FALSE))</f>
        <v>2956.7759999999998</v>
      </c>
      <c r="AJ31">
        <f ca="1">IF(AND(ISNUMBER($AJ$172),$B$145=1),$AJ$172,HLOOKUP(INDIRECT(ADDRESS(2,COLUMN())),OFFSET($BN$2,0,0,ROW()-1,60),ROW()-1,FALSE))</f>
        <v>2822.7249999999999</v>
      </c>
      <c r="AK31">
        <f ca="1">IF(AND(ISNUMBER($AK$172),$B$145=1),$AK$172,HLOOKUP(INDIRECT(ADDRESS(2,COLUMN())),OFFSET($BN$2,0,0,ROW()-1,60),ROW()-1,FALSE))</f>
        <v>2962.0340000000001</v>
      </c>
      <c r="AL31">
        <f ca="1">IF(AND(ISNUMBER($AL$172),$B$145=1),$AL$172,HLOOKUP(INDIRECT(ADDRESS(2,COLUMN())),OFFSET($BN$2,0,0,ROW()-1,60),ROW()-1,FALSE))</f>
        <v>3335.7950000000001</v>
      </c>
      <c r="AM31">
        <f ca="1">IF(AND(ISNUMBER($AM$172),$B$145=1),$AM$172,HLOOKUP(INDIRECT(ADDRESS(2,COLUMN())),OFFSET($BN$2,0,0,ROW()-1,60),ROW()-1,FALSE))</f>
        <v>3236.6239999999998</v>
      </c>
      <c r="AN31">
        <f ca="1">IF(AND(ISNUMBER($AN$172),$B$145=1),$AN$172,HLOOKUP(INDIRECT(ADDRESS(2,COLUMN())),OFFSET($BN$2,0,0,ROW()-1,60),ROW()-1,FALSE))</f>
        <v>3240.3319999999999</v>
      </c>
      <c r="AO31">
        <f ca="1">IF(AND(ISNUMBER($AO$172),$B$145=1),$AO$172,HLOOKUP(INDIRECT(ADDRESS(2,COLUMN())),OFFSET($BN$2,0,0,ROW()-1,60),ROW()-1,FALSE))</f>
        <v>3205.2379999999998</v>
      </c>
      <c r="AP31">
        <f ca="1">IF(AND(ISNUMBER($AP$172),$B$145=1),$AP$172,HLOOKUP(INDIRECT(ADDRESS(2,COLUMN())),OFFSET($BN$2,0,0,ROW()-1,60),ROW()-1,FALSE))</f>
        <v>3773.2260000000001</v>
      </c>
      <c r="AQ31">
        <f ca="1">IF(AND(ISNUMBER($AQ$172),$B$145=1),$AQ$172,HLOOKUP(INDIRECT(ADDRESS(2,COLUMN())),OFFSET($BN$2,0,0,ROW()-1,60),ROW()-1,FALSE))</f>
        <v>2952.277</v>
      </c>
      <c r="AR31">
        <f ca="1">IF(AND(ISNUMBER($AR$172),$B$145=1),$AR$172,HLOOKUP(INDIRECT(ADDRESS(2,COLUMN())),OFFSET($BN$2,0,0,ROW()-1,60),ROW()-1,FALSE))</f>
        <v>2982.1460000000002</v>
      </c>
      <c r="AS31">
        <f ca="1">IF(AND(ISNUMBER($AS$172),$B$145=1),$AS$172,HLOOKUP(INDIRECT(ADDRESS(2,COLUMN())),OFFSET($BN$2,0,0,ROW()-1,60),ROW()-1,FALSE))</f>
        <v>2841.085</v>
      </c>
      <c r="AT31">
        <f ca="1">IF(AND(ISNUMBER($AT$172),$B$145=1),$AT$172,HLOOKUP(INDIRECT(ADDRESS(2,COLUMN())),OFFSET($BN$2,0,0,ROW()-1,60),ROW()-1,FALSE))</f>
        <v>2618.8510000000001</v>
      </c>
      <c r="AU31">
        <f ca="1">IF(AND(ISNUMBER($AU$172),$B$145=1),$AU$172,HLOOKUP(INDIRECT(ADDRESS(2,COLUMN())),OFFSET($BN$2,0,0,ROW()-1,60),ROW()-1,FALSE))</f>
        <v>2585.145</v>
      </c>
      <c r="AV31">
        <f ca="1">IF(AND(ISNUMBER($AV$172),$B$145=1),$AV$172,HLOOKUP(INDIRECT(ADDRESS(2,COLUMN())),OFFSET($BN$2,0,0,ROW()-1,60),ROW()-1,FALSE))</f>
        <v>2528.71</v>
      </c>
      <c r="AW31">
        <f ca="1">IF(AND(ISNUMBER($AW$172),$B$145=1),$AW$172,HLOOKUP(INDIRECT(ADDRESS(2,COLUMN())),OFFSET($BN$2,0,0,ROW()-1,60),ROW()-1,FALSE))</f>
        <v>2473.7570000000001</v>
      </c>
      <c r="AX31">
        <f ca="1">IF(AND(ISNUMBER($AX$172),$B$145=1),$AX$172,HLOOKUP(INDIRECT(ADDRESS(2,COLUMN())),OFFSET($BN$2,0,0,ROW()-1,60),ROW()-1,FALSE))</f>
        <v>2734.4</v>
      </c>
      <c r="AY31">
        <f ca="1">IF(AND(ISNUMBER($AY$172),$B$145=1),$AY$172,HLOOKUP(INDIRECT(ADDRESS(2,COLUMN())),OFFSET($BN$2,0,0,ROW()-1,60),ROW()-1,FALSE))</f>
        <v>2894.3760000000002</v>
      </c>
      <c r="AZ31">
        <f ca="1">IF(AND(ISNUMBER($AZ$172),$B$145=1),$AZ$172,HLOOKUP(INDIRECT(ADDRESS(2,COLUMN())),OFFSET($BN$2,0,0,ROW()-1,60),ROW()-1,FALSE))</f>
        <v>2670.0990000000002</v>
      </c>
      <c r="BA31">
        <f ca="1">IF(AND(ISNUMBER($BA$172),$B$145=1),$BA$172,HLOOKUP(INDIRECT(ADDRESS(2,COLUMN())),OFFSET($BN$2,0,0,ROW()-1,60),ROW()-1,FALSE))</f>
        <v>2602.0520000000001</v>
      </c>
      <c r="BB31">
        <f ca="1">IF(AND(ISNUMBER($BB$172),$B$145=1),$BB$172,HLOOKUP(INDIRECT(ADDRESS(2,COLUMN())),OFFSET($BN$2,0,0,ROW()-1,60),ROW()-1,FALSE))</f>
        <v>2610.556</v>
      </c>
      <c r="BC31">
        <f ca="1">IF(AND(ISNUMBER($BC$172),$B$145=1),$BC$172,HLOOKUP(INDIRECT(ADDRESS(2,COLUMN())),OFFSET($BN$2,0,0,ROW()-1,60),ROW()-1,FALSE))</f>
        <v>2291.52</v>
      </c>
      <c r="BD31">
        <f ca="1">IF(AND(ISNUMBER($BD$172),$B$145=1),$BD$172,HLOOKUP(INDIRECT(ADDRESS(2,COLUMN())),OFFSET($BN$2,0,0,ROW()-1,60),ROW()-1,FALSE))</f>
        <v>1955.0650000000001</v>
      </c>
      <c r="BE31">
        <f ca="1">IF(AND(ISNUMBER($BE$172),$B$145=1),$BE$172,HLOOKUP(INDIRECT(ADDRESS(2,COLUMN())),OFFSET($BN$2,0,0,ROW()-1,60),ROW()-1,FALSE))</f>
        <v>2716.2849999999999</v>
      </c>
      <c r="BF31">
        <f ca="1">IF(AND(ISNUMBER($BF$172),$B$145=1),$BF$172,HLOOKUP(INDIRECT(ADDRESS(2,COLUMN())),OFFSET($BN$2,0,0,ROW()-1,60),ROW()-1,FALSE))</f>
        <v>3073.201</v>
      </c>
      <c r="BG31">
        <f ca="1">IF(AND(ISNUMBER($BG$172),$B$145=1),$BG$172,HLOOKUP(INDIRECT(ADDRESS(2,COLUMN())),OFFSET($BN$2,0,0,ROW()-1,60),ROW()-1,FALSE))</f>
        <v>3282.7809999999999</v>
      </c>
      <c r="BH31">
        <f ca="1">IF(AND(ISNUMBER($BH$172),$B$145=1),$BH$172,HLOOKUP(INDIRECT(ADDRESS(2,COLUMN())),OFFSET($BN$2,0,0,ROW()-1,60),ROW()-1,FALSE))</f>
        <v>3209.41</v>
      </c>
      <c r="BI31">
        <f ca="1">IF(AND(ISNUMBER($BI$172),$B$145=1),$BI$172,HLOOKUP(INDIRECT(ADDRESS(2,COLUMN())),OFFSET($BN$2,0,0,ROW()-1,60),ROW()-1,FALSE))</f>
        <v>3123.375</v>
      </c>
      <c r="BJ31">
        <f ca="1">IF(AND(ISNUMBER($BJ$172),$B$145=1),$BJ$172,HLOOKUP(INDIRECT(ADDRESS(2,COLUMN())),OFFSET($BN$2,0,0,ROW()-1,60),ROW()-1,FALSE))</f>
        <v>2890.9490000000001</v>
      </c>
      <c r="BK31">
        <f ca="1">IF(AND(ISNUMBER($BK$172),$B$145=1),$BK$172,HLOOKUP(INDIRECT(ADDRESS(2,COLUMN())),OFFSET($BN$2,0,0,ROW()-1,60),ROW()-1,FALSE))</f>
        <v>2908.127</v>
      </c>
      <c r="BL31">
        <f ca="1">IF(AND(ISNUMBER($BL$172),$B$145=1),$BL$172,HLOOKUP(INDIRECT(ADDRESS(2,COLUMN())),OFFSET($BN$2,0,0,ROW()-1,60),ROW()-1,FALSE))</f>
        <v>2127.5590000000002</v>
      </c>
      <c r="BM31" t="str">
        <f ca="1">IF(AND(ISNUMBER($BM$172),$B$145=1),$BM$172,HLOOKUP(INDIRECT(ADDRESS(2,COLUMN())),OFFSET($BN$2,0,0,ROW()-1,60),ROW()-1,FALSE))</f>
        <v/>
      </c>
      <c r="BN31">
        <f>10846.811</f>
        <v>10846.811</v>
      </c>
      <c r="BO31">
        <f>10133.877</f>
        <v>10133.877</v>
      </c>
      <c r="BP31">
        <f>8923.528</f>
        <v>8923.5280000000002</v>
      </c>
      <c r="BQ31">
        <f>8400.468</f>
        <v>8400.4680000000008</v>
      </c>
      <c r="BR31">
        <f>6188.337</f>
        <v>6188.3370000000004</v>
      </c>
      <c r="BS31">
        <f>6039.837</f>
        <v>6039.8370000000004</v>
      </c>
      <c r="BT31">
        <f>5987.258</f>
        <v>5987.2579999999998</v>
      </c>
      <c r="BU31">
        <f>6300.868</f>
        <v>6300.8680000000004</v>
      </c>
      <c r="BV31">
        <f>6034.993</f>
        <v>6034.9930000000004</v>
      </c>
      <c r="BW31">
        <f>5906.09</f>
        <v>5906.09</v>
      </c>
      <c r="BX31">
        <f>6255.504</f>
        <v>6255.5039999999999</v>
      </c>
      <c r="BY31">
        <f>6729.431</f>
        <v>6729.4309999999996</v>
      </c>
      <c r="BZ31">
        <f>9965.353</f>
        <v>9965.3529999999992</v>
      </c>
      <c r="CA31">
        <f>9713.006</f>
        <v>9713.0059999999994</v>
      </c>
      <c r="CB31">
        <f>8399.46</f>
        <v>8399.4599999999991</v>
      </c>
      <c r="CC31">
        <f>7789.213</f>
        <v>7789.2129999999997</v>
      </c>
      <c r="CD31">
        <f>5544.658</f>
        <v>5544.6580000000004</v>
      </c>
      <c r="CE31">
        <f>4539.16</f>
        <v>4539.16</v>
      </c>
      <c r="CF31">
        <f>3884.574</f>
        <v>3884.5740000000001</v>
      </c>
      <c r="CG31">
        <f>3695.943</f>
        <v>3695.9430000000002</v>
      </c>
      <c r="CH31">
        <f>3317.214</f>
        <v>3317.2139999999999</v>
      </c>
      <c r="CI31">
        <f>3284.034</f>
        <v>3284.0340000000001</v>
      </c>
      <c r="CJ31">
        <f>2592.913</f>
        <v>2592.913</v>
      </c>
      <c r="CK31">
        <f>2640.158</f>
        <v>2640.1579999999999</v>
      </c>
      <c r="CL31">
        <f>2741.847</f>
        <v>2741.8470000000002</v>
      </c>
      <c r="CM31">
        <f>2676.51</f>
        <v>2676.51</v>
      </c>
      <c r="CN31">
        <f>2707.444</f>
        <v>2707.444</v>
      </c>
      <c r="CO31">
        <f>2811.416</f>
        <v>2811.4160000000002</v>
      </c>
      <c r="CP31">
        <f>3016.752</f>
        <v>3016.752</v>
      </c>
      <c r="CQ31">
        <f>2956.776</f>
        <v>2956.7759999999998</v>
      </c>
      <c r="CR31">
        <f>2822.725</f>
        <v>2822.7249999999999</v>
      </c>
      <c r="CS31">
        <f>2962.034</f>
        <v>2962.0340000000001</v>
      </c>
      <c r="CT31">
        <f>3335.795</f>
        <v>3335.7950000000001</v>
      </c>
      <c r="CU31">
        <f>3236.624</f>
        <v>3236.6239999999998</v>
      </c>
      <c r="CV31">
        <f>3240.332</f>
        <v>3240.3319999999999</v>
      </c>
      <c r="CW31">
        <f>3205.238</f>
        <v>3205.2379999999998</v>
      </c>
      <c r="CX31">
        <f>3773.226</f>
        <v>3773.2260000000001</v>
      </c>
      <c r="CY31">
        <f>2952.277</f>
        <v>2952.277</v>
      </c>
      <c r="CZ31">
        <f>2982.146</f>
        <v>2982.1460000000002</v>
      </c>
      <c r="DA31">
        <f>2841.085</f>
        <v>2841.085</v>
      </c>
      <c r="DB31">
        <f>2618.851</f>
        <v>2618.8510000000001</v>
      </c>
      <c r="DC31">
        <f>2585.145</f>
        <v>2585.145</v>
      </c>
      <c r="DD31">
        <f>2528.71</f>
        <v>2528.71</v>
      </c>
      <c r="DE31">
        <f>2473.757</f>
        <v>2473.7570000000001</v>
      </c>
      <c r="DF31">
        <f>2734.4</f>
        <v>2734.4</v>
      </c>
      <c r="DG31">
        <f>2894.376</f>
        <v>2894.3760000000002</v>
      </c>
      <c r="DH31">
        <f>2670.099</f>
        <v>2670.0990000000002</v>
      </c>
      <c r="DI31">
        <f>2602.052</f>
        <v>2602.0520000000001</v>
      </c>
      <c r="DJ31">
        <f>2610.556</f>
        <v>2610.556</v>
      </c>
      <c r="DK31">
        <f>2291.52</f>
        <v>2291.52</v>
      </c>
      <c r="DL31">
        <f>1955.065</f>
        <v>1955.0650000000001</v>
      </c>
      <c r="DM31">
        <f>2716.285</f>
        <v>2716.2849999999999</v>
      </c>
      <c r="DN31">
        <f>3073.201</f>
        <v>3073.201</v>
      </c>
      <c r="DO31">
        <f>3282.781</f>
        <v>3282.7809999999999</v>
      </c>
      <c r="DP31">
        <f>3209.41</f>
        <v>3209.41</v>
      </c>
      <c r="DQ31">
        <f>3123.375</f>
        <v>3123.375</v>
      </c>
      <c r="DR31">
        <f>2890.949</f>
        <v>2890.9490000000001</v>
      </c>
      <c r="DS31">
        <f>2908.127</f>
        <v>2908.127</v>
      </c>
      <c r="DT31">
        <f>2127.559</f>
        <v>2127.5590000000002</v>
      </c>
      <c r="DU31" t="str">
        <f>""</f>
        <v/>
      </c>
    </row>
    <row r="32" spans="1:125" x14ac:dyDescent="0.25">
      <c r="A32" t="str">
        <f>"                Fifth Third Bancorp"</f>
        <v xml:space="preserve">                Fifth Third Bancorp</v>
      </c>
      <c r="B32" t="str">
        <f>"FITB US Equity"</f>
        <v>FITB US Equity</v>
      </c>
      <c r="C32" t="str">
        <f t="shared" si="3"/>
        <v>FC471</v>
      </c>
      <c r="D32" t="str">
        <f t="shared" si="4"/>
        <v>FDIC_SECS_AVAIL_FOR_SALE_MKT_VAL</v>
      </c>
      <c r="E32" t="str">
        <f t="shared" si="5"/>
        <v>Dynamic</v>
      </c>
      <c r="F32">
        <f ca="1">IF(AND(ISNUMBER($F$173),$B$145=1),$F$173,HLOOKUP(INDIRECT(ADDRESS(2,COLUMN())),OFFSET($BN$2,0,0,ROW()-1,60),ROW()-1,FALSE))</f>
        <v>38768</v>
      </c>
      <c r="G32">
        <f ca="1">IF(AND(ISNUMBER($G$173),$B$145=1),$G$173,HLOOKUP(INDIRECT(ADDRESS(2,COLUMN())),OFFSET($BN$2,0,0,ROW()-1,60),ROW()-1,FALSE))</f>
        <v>39619</v>
      </c>
      <c r="H32">
        <f ca="1">IF(AND(ISNUMBER($H$173),$B$145=1),$H$173,HLOOKUP(INDIRECT(ADDRESS(2,COLUMN())),OFFSET($BN$2,0,0,ROW()-1,60),ROW()-1,FALSE))</f>
        <v>38193</v>
      </c>
      <c r="I32">
        <f ca="1">IF(AND(ISNUMBER($I$173),$B$145=1),$I$173,HLOOKUP(INDIRECT(ADDRESS(2,COLUMN())),OFFSET($BN$2,0,0,ROW()-1,60),ROW()-1,FALSE))</f>
        <v>37990</v>
      </c>
      <c r="J32">
        <f ca="1">IF(AND(ISNUMBER($J$173),$B$145=1),$J$173,HLOOKUP(INDIRECT(ADDRESS(2,COLUMN())),OFFSET($BN$2,0,0,ROW()-1,60),ROW()-1,FALSE))</f>
        <v>49698</v>
      </c>
      <c r="K32">
        <f ca="1">IF(AND(ISNUMBER($K$173),$B$145=1),$K$173,HLOOKUP(INDIRECT(ADDRESS(2,COLUMN())),OFFSET($BN$2,0,0,ROW()-1,60),ROW()-1,FALSE))</f>
        <v>47115</v>
      </c>
      <c r="L32">
        <f ca="1">IF(AND(ISNUMBER($L$173),$B$145=1),$L$173,HLOOKUP(INDIRECT(ADDRESS(2,COLUMN())),OFFSET($BN$2,0,0,ROW()-1,60),ROW()-1,FALSE))</f>
        <v>48493</v>
      </c>
      <c r="M32">
        <f ca="1">IF(AND(ISNUMBER($M$173),$B$145=1),$M$173,HLOOKUP(INDIRECT(ADDRESS(2,COLUMN())),OFFSET($BN$2,0,0,ROW()-1,60),ROW()-1,FALSE))</f>
        <v>49829</v>
      </c>
      <c r="N32">
        <f ca="1">IF(AND(ISNUMBER($N$173),$B$145=1),$N$173,HLOOKUP(INDIRECT(ADDRESS(2,COLUMN())),OFFSET($BN$2,0,0,ROW()-1,60),ROW()-1,FALSE))</f>
        <v>50629.088000000003</v>
      </c>
      <c r="O32">
        <f ca="1">IF(AND(ISNUMBER($O$173),$B$145=1),$O$173,HLOOKUP(INDIRECT(ADDRESS(2,COLUMN())),OFFSET($BN$2,0,0,ROW()-1,60),ROW()-1,FALSE))</f>
        <v>50414.911999999997</v>
      </c>
      <c r="P32">
        <f ca="1">IF(AND(ISNUMBER($P$173),$B$145=1),$P$173,HLOOKUP(INDIRECT(ADDRESS(2,COLUMN())),OFFSET($BN$2,0,0,ROW()-1,60),ROW()-1,FALSE))</f>
        <v>52031.298000000003</v>
      </c>
      <c r="Q32">
        <f ca="1">IF(AND(ISNUMBER($Q$173),$B$145=1),$Q$173,HLOOKUP(INDIRECT(ADDRESS(2,COLUMN())),OFFSET($BN$2,0,0,ROW()-1,60),ROW()-1,FALSE))</f>
        <v>48313.976000000002</v>
      </c>
      <c r="R32">
        <f ca="1">IF(AND(ISNUMBER($R$173),$B$145=1),$R$173,HLOOKUP(INDIRECT(ADDRESS(2,COLUMN())),OFFSET($BN$2,0,0,ROW()-1,60),ROW()-1,FALSE))</f>
        <v>37591.434000000001</v>
      </c>
      <c r="S32">
        <f ca="1">IF(AND(ISNUMBER($S$173),$B$145=1),$S$173,HLOOKUP(INDIRECT(ADDRESS(2,COLUMN())),OFFSET($BN$2,0,0,ROW()-1,60),ROW()-1,FALSE))</f>
        <v>37352.347000000002</v>
      </c>
      <c r="T32">
        <f ca="1">IF(AND(ISNUMBER($T$173),$B$145=1),$T$173,HLOOKUP(INDIRECT(ADDRESS(2,COLUMN())),OFFSET($BN$2,0,0,ROW()-1,60),ROW()-1,FALSE))</f>
        <v>37492.207000000002</v>
      </c>
      <c r="U32">
        <f ca="1">IF(AND(ISNUMBER($U$173),$B$145=1),$U$173,HLOOKUP(INDIRECT(ADDRESS(2,COLUMN())),OFFSET($BN$2,0,0,ROW()-1,60),ROW()-1,FALSE))</f>
        <v>37073.944000000003</v>
      </c>
      <c r="V32">
        <f ca="1">IF(AND(ISNUMBER($V$173),$B$145=1),$V$173,HLOOKUP(INDIRECT(ADDRESS(2,COLUMN())),OFFSET($BN$2,0,0,ROW()-1,60),ROW()-1,FALSE))</f>
        <v>36988.781999999999</v>
      </c>
      <c r="W32">
        <f ca="1">IF(AND(ISNUMBER($W$173),$B$145=1),$W$173,HLOOKUP(INDIRECT(ADDRESS(2,COLUMN())),OFFSET($BN$2,0,0,ROW()-1,60),ROW()-1,FALSE))</f>
        <v>36894.470999999998</v>
      </c>
      <c r="X32">
        <f ca="1">IF(AND(ISNUMBER($X$173),$B$145=1),$X$173,HLOOKUP(INDIRECT(ADDRESS(2,COLUMN())),OFFSET($BN$2,0,0,ROW()-1,60),ROW()-1,FALSE))</f>
        <v>38051.436999999998</v>
      </c>
      <c r="Y32">
        <f ca="1">IF(AND(ISNUMBER($Y$173),$B$145=1),$Y$173,HLOOKUP(INDIRECT(ADDRESS(2,COLUMN())),OFFSET($BN$2,0,0,ROW()-1,60),ROW()-1,FALSE))</f>
        <v>38029.612999999998</v>
      </c>
      <c r="Z32">
        <f ca="1">IF(AND(ISNUMBER($Z$173),$B$145=1),$Z$173,HLOOKUP(INDIRECT(ADDRESS(2,COLUMN())),OFFSET($BN$2,0,0,ROW()-1,60),ROW()-1,FALSE))</f>
        <v>35472.841999999997</v>
      </c>
      <c r="AA32">
        <f ca="1">IF(AND(ISNUMBER($AA$173),$B$145=1),$AA$173,HLOOKUP(INDIRECT(ADDRESS(2,COLUMN())),OFFSET($BN$2,0,0,ROW()-1,60),ROW()-1,FALSE))</f>
        <v>36603.811999999998</v>
      </c>
      <c r="AB32">
        <f ca="1">IF(AND(ISNUMBER($AB$173),$B$145=1),$AB$173,HLOOKUP(INDIRECT(ADDRESS(2,COLUMN())),OFFSET($BN$2,0,0,ROW()-1,60),ROW()-1,FALSE))</f>
        <v>35207.072</v>
      </c>
      <c r="AC32">
        <f ca="1">IF(AND(ISNUMBER($AC$173),$B$145=1),$AC$173,HLOOKUP(INDIRECT(ADDRESS(2,COLUMN())),OFFSET($BN$2,0,0,ROW()-1,60),ROW()-1,FALSE))</f>
        <v>34467.135000000002</v>
      </c>
      <c r="AD32">
        <f ca="1">IF(AND(ISNUMBER($AD$173),$B$145=1),$AD$173,HLOOKUP(INDIRECT(ADDRESS(2,COLUMN())),OFFSET($BN$2,0,0,ROW()-1,60),ROW()-1,FALSE))</f>
        <v>32278.117999999999</v>
      </c>
      <c r="AE32">
        <f ca="1">IF(AND(ISNUMBER($AE$173),$B$145=1),$AE$173,HLOOKUP(INDIRECT(ADDRESS(2,COLUMN())),OFFSET($BN$2,0,0,ROW()-1,60),ROW()-1,FALSE))</f>
        <v>31257.54</v>
      </c>
      <c r="AF32">
        <f ca="1">IF(AND(ISNUMBER($AF$173),$B$145=1),$AF$173,HLOOKUP(INDIRECT(ADDRESS(2,COLUMN())),OFFSET($BN$2,0,0,ROW()-1,60),ROW()-1,FALSE))</f>
        <v>31347.248</v>
      </c>
      <c r="AG32">
        <f ca="1">IF(AND(ISNUMBER($AG$173),$B$145=1),$AG$173,HLOOKUP(INDIRECT(ADDRESS(2,COLUMN())),OFFSET($BN$2,0,0,ROW()-1,60),ROW()-1,FALSE))</f>
        <v>31206.024000000001</v>
      </c>
      <c r="AH32">
        <f ca="1">IF(AND(ISNUMBER($AH$173),$B$145=1),$AH$173,HLOOKUP(INDIRECT(ADDRESS(2,COLUMN())),OFFSET($BN$2,0,0,ROW()-1,60),ROW()-1,FALSE))</f>
        <v>31208.964</v>
      </c>
      <c r="AI32">
        <f ca="1">IF(AND(ISNUMBER($AI$173),$B$145=1),$AI$173,HLOOKUP(INDIRECT(ADDRESS(2,COLUMN())),OFFSET($BN$2,0,0,ROW()-1,60),ROW()-1,FALSE))</f>
        <v>30868.948</v>
      </c>
      <c r="AJ32">
        <f ca="1">IF(AND(ISNUMBER($AJ$173),$B$145=1),$AJ$173,HLOOKUP(INDIRECT(ADDRESS(2,COLUMN())),OFFSET($BN$2,0,0,ROW()-1,60),ROW()-1,FALSE))</f>
        <v>31212.607</v>
      </c>
      <c r="AK32">
        <f ca="1">IF(AND(ISNUMBER($AK$173),$B$145=1),$AK$173,HLOOKUP(INDIRECT(ADDRESS(2,COLUMN())),OFFSET($BN$2,0,0,ROW()-1,60),ROW()-1,FALSE))</f>
        <v>30922.12</v>
      </c>
      <c r="AL32">
        <f ca="1">IF(AND(ISNUMBER($AL$173),$B$145=1),$AL$173,HLOOKUP(INDIRECT(ADDRESS(2,COLUMN())),OFFSET($BN$2,0,0,ROW()-1,60),ROW()-1,FALSE))</f>
        <v>30575.792000000001</v>
      </c>
      <c r="AM32">
        <f ca="1">IF(AND(ISNUMBER($AM$173),$B$145=1),$AM$173,HLOOKUP(INDIRECT(ADDRESS(2,COLUMN())),OFFSET($BN$2,0,0,ROW()-1,60),ROW()-1,FALSE))</f>
        <v>30082.442999999999</v>
      </c>
      <c r="AN32">
        <f ca="1">IF(AND(ISNUMBER($AN$173),$B$145=1),$AN$173,HLOOKUP(INDIRECT(ADDRESS(2,COLUMN())),OFFSET($BN$2,0,0,ROW()-1,60),ROW()-1,FALSE))</f>
        <v>30848.845000000001</v>
      </c>
      <c r="AO32">
        <f ca="1">IF(AND(ISNUMBER($AO$173),$B$145=1),$AO$173,HLOOKUP(INDIRECT(ADDRESS(2,COLUMN())),OFFSET($BN$2,0,0,ROW()-1,60),ROW()-1,FALSE))</f>
        <v>29285.55</v>
      </c>
      <c r="AP32">
        <f ca="1">IF(AND(ISNUMBER($AP$173),$B$145=1),$AP$173,HLOOKUP(INDIRECT(ADDRESS(2,COLUMN())),OFFSET($BN$2,0,0,ROW()-1,60),ROW()-1,FALSE))</f>
        <v>28439.659</v>
      </c>
      <c r="AQ32">
        <f ca="1">IF(AND(ISNUMBER($AQ$173),$B$145=1),$AQ$173,HLOOKUP(INDIRECT(ADDRESS(2,COLUMN())),OFFSET($BN$2,0,0,ROW()-1,60),ROW()-1,FALSE))</f>
        <v>28195.366999999998</v>
      </c>
      <c r="AR32">
        <f ca="1">IF(AND(ISNUMBER($AR$173),$B$145=1),$AR$173,HLOOKUP(INDIRECT(ADDRESS(2,COLUMN())),OFFSET($BN$2,0,0,ROW()-1,60),ROW()-1,FALSE))</f>
        <v>27385.704000000002</v>
      </c>
      <c r="AS32">
        <f ca="1">IF(AND(ISNUMBER($AS$173),$B$145=1),$AS$173,HLOOKUP(INDIRECT(ADDRESS(2,COLUMN())),OFFSET($BN$2,0,0,ROW()-1,60),ROW()-1,FALSE))</f>
        <v>25808.400000000001</v>
      </c>
      <c r="AT32">
        <f ca="1">IF(AND(ISNUMBER($AT$173),$B$145=1),$AT$173,HLOOKUP(INDIRECT(ADDRESS(2,COLUMN())),OFFSET($BN$2,0,0,ROW()-1,60),ROW()-1,FALSE))</f>
        <v>21807.300999999999</v>
      </c>
      <c r="AU32">
        <f ca="1">IF(AND(ISNUMBER($AU$173),$B$145=1),$AU$173,HLOOKUP(INDIRECT(ADDRESS(2,COLUMN())),OFFSET($BN$2,0,0,ROW()-1,60),ROW()-1,FALSE))</f>
        <v>22311.741999999998</v>
      </c>
      <c r="AV32">
        <f ca="1">IF(AND(ISNUMBER($AV$173),$B$145=1),$AV$173,HLOOKUP(INDIRECT(ADDRESS(2,COLUMN())),OFFSET($BN$2,0,0,ROW()-1,60),ROW()-1,FALSE))</f>
        <v>22215.5</v>
      </c>
      <c r="AW32">
        <f ca="1">IF(AND(ISNUMBER($AW$173),$B$145=1),$AW$173,HLOOKUP(INDIRECT(ADDRESS(2,COLUMN())),OFFSET($BN$2,0,0,ROW()-1,60),ROW()-1,FALSE))</f>
        <v>20150.698</v>
      </c>
      <c r="AX32">
        <f ca="1">IF(AND(ISNUMBER($AX$173),$B$145=1),$AX$173,HLOOKUP(INDIRECT(ADDRESS(2,COLUMN())),OFFSET($BN$2,0,0,ROW()-1,60),ROW()-1,FALSE))</f>
        <v>17845.746999999999</v>
      </c>
      <c r="AY32">
        <f ca="1">IF(AND(ISNUMBER($AY$173),$B$145=1),$AY$173,HLOOKUP(INDIRECT(ADDRESS(2,COLUMN())),OFFSET($BN$2,0,0,ROW()-1,60),ROW()-1,FALSE))</f>
        <v>17233.511999999999</v>
      </c>
      <c r="AZ32">
        <f ca="1">IF(AND(ISNUMBER($AZ$173),$B$145=1),$AZ$173,HLOOKUP(INDIRECT(ADDRESS(2,COLUMN())),OFFSET($BN$2,0,0,ROW()-1,60),ROW()-1,FALSE))</f>
        <v>15341.741</v>
      </c>
      <c r="BA32">
        <f ca="1">IF(AND(ISNUMBER($BA$173),$B$145=1),$BA$173,HLOOKUP(INDIRECT(ADDRESS(2,COLUMN())),OFFSET($BN$2,0,0,ROW()-1,60),ROW()-1,FALSE))</f>
        <v>14417.929</v>
      </c>
      <c r="BB32">
        <f ca="1">IF(AND(ISNUMBER($BB$173),$B$145=1),$BB$173,HLOOKUP(INDIRECT(ADDRESS(2,COLUMN())),OFFSET($BN$2,0,0,ROW()-1,60),ROW()-1,FALSE))</f>
        <v>14362.356</v>
      </c>
      <c r="BC32">
        <f ca="1">IF(AND(ISNUMBER($BC$173),$B$145=1),$BC$173,HLOOKUP(INDIRECT(ADDRESS(2,COLUMN())),OFFSET($BN$2,0,0,ROW()-1,60),ROW()-1,FALSE))</f>
        <v>14558.31</v>
      </c>
      <c r="BD32">
        <f ca="1">IF(AND(ISNUMBER($BD$173),$B$145=1),$BD$173,HLOOKUP(INDIRECT(ADDRESS(2,COLUMN())),OFFSET($BN$2,0,0,ROW()-1,60),ROW()-1,FALSE))</f>
        <v>14708.494000000001</v>
      </c>
      <c r="BE32">
        <f ca="1">IF(AND(ISNUMBER($BE$173),$B$145=1),$BE$173,HLOOKUP(INDIRECT(ADDRESS(2,COLUMN())),OFFSET($BN$2,0,0,ROW()-1,60),ROW()-1,FALSE))</f>
        <v>15250.107</v>
      </c>
      <c r="BF32">
        <f ca="1">IF(AND(ISNUMBER($BF$173),$B$145=1),$BF$173,HLOOKUP(INDIRECT(ADDRESS(2,COLUMN())),OFFSET($BN$2,0,0,ROW()-1,60),ROW()-1,FALSE))</f>
        <v>14519.375</v>
      </c>
      <c r="BG32">
        <f ca="1">IF(AND(ISNUMBER($BG$173),$B$145=1),$BG$173,HLOOKUP(INDIRECT(ADDRESS(2,COLUMN())),OFFSET($BN$2,0,0,ROW()-1,60),ROW()-1,FALSE))</f>
        <v>15384.949000000001</v>
      </c>
      <c r="BH32">
        <f ca="1">IF(AND(ISNUMBER($BH$173),$B$145=1),$BH$173,HLOOKUP(INDIRECT(ADDRESS(2,COLUMN())),OFFSET($BN$2,0,0,ROW()-1,60),ROW()-1,FALSE))</f>
        <v>14660.333000000001</v>
      </c>
      <c r="BI32">
        <f ca="1">IF(AND(ISNUMBER($BI$173),$B$145=1),$BI$173,HLOOKUP(INDIRECT(ADDRESS(2,COLUMN())),OFFSET($BN$2,0,0,ROW()-1,60),ROW()-1,FALSE))</f>
        <v>14266.92</v>
      </c>
      <c r="BJ32">
        <f ca="1">IF(AND(ISNUMBER($BJ$173),$B$145=1),$BJ$173,HLOOKUP(INDIRECT(ADDRESS(2,COLUMN())),OFFSET($BN$2,0,0,ROW()-1,60),ROW()-1,FALSE))</f>
        <v>14546.322</v>
      </c>
      <c r="BK32">
        <f ca="1">IF(AND(ISNUMBER($BK$173),$B$145=1),$BK$173,HLOOKUP(INDIRECT(ADDRESS(2,COLUMN())),OFFSET($BN$2,0,0,ROW()-1,60),ROW()-1,FALSE))</f>
        <v>15081.192999999999</v>
      </c>
      <c r="BL32">
        <f ca="1">IF(AND(ISNUMBER($BL$173),$B$145=1),$BL$173,HLOOKUP(INDIRECT(ADDRESS(2,COLUMN())),OFFSET($BN$2,0,0,ROW()-1,60),ROW()-1,FALSE))</f>
        <v>15127.201999999999</v>
      </c>
      <c r="BM32" t="str">
        <f ca="1">IF(AND(ISNUMBER($BM$173),$B$145=1),$BM$173,HLOOKUP(INDIRECT(ADDRESS(2,COLUMN())),OFFSET($BN$2,0,0,ROW()-1,60),ROW()-1,FALSE))</f>
        <v/>
      </c>
      <c r="BN32">
        <f>38768</f>
        <v>38768</v>
      </c>
      <c r="BO32">
        <f>39619</f>
        <v>39619</v>
      </c>
      <c r="BP32">
        <f>38193</f>
        <v>38193</v>
      </c>
      <c r="BQ32">
        <f>37990</f>
        <v>37990</v>
      </c>
      <c r="BR32">
        <f>49698</f>
        <v>49698</v>
      </c>
      <c r="BS32">
        <f>47115</f>
        <v>47115</v>
      </c>
      <c r="BT32">
        <f>48493</f>
        <v>48493</v>
      </c>
      <c r="BU32">
        <f>49829</f>
        <v>49829</v>
      </c>
      <c r="BV32">
        <f>50629.088</f>
        <v>50629.088000000003</v>
      </c>
      <c r="BW32">
        <f>50414.912</f>
        <v>50414.911999999997</v>
      </c>
      <c r="BX32">
        <f>52031.298</f>
        <v>52031.298000000003</v>
      </c>
      <c r="BY32">
        <f>48313.976</f>
        <v>48313.976000000002</v>
      </c>
      <c r="BZ32">
        <f>37591.434</f>
        <v>37591.434000000001</v>
      </c>
      <c r="CA32">
        <f>37352.347</f>
        <v>37352.347000000002</v>
      </c>
      <c r="CB32">
        <f>37492.207</f>
        <v>37492.207000000002</v>
      </c>
      <c r="CC32">
        <f>37073.944</f>
        <v>37073.944000000003</v>
      </c>
      <c r="CD32">
        <f>36988.782</f>
        <v>36988.781999999999</v>
      </c>
      <c r="CE32">
        <f>36894.471</f>
        <v>36894.470999999998</v>
      </c>
      <c r="CF32">
        <f>38051.437</f>
        <v>38051.436999999998</v>
      </c>
      <c r="CG32">
        <f>38029.613</f>
        <v>38029.612999999998</v>
      </c>
      <c r="CH32">
        <f>35472.842</f>
        <v>35472.841999999997</v>
      </c>
      <c r="CI32">
        <f>36603.812</f>
        <v>36603.811999999998</v>
      </c>
      <c r="CJ32">
        <f>35207.072</f>
        <v>35207.072</v>
      </c>
      <c r="CK32">
        <f>34467.135</f>
        <v>34467.135000000002</v>
      </c>
      <c r="CL32">
        <f>32278.118</f>
        <v>32278.117999999999</v>
      </c>
      <c r="CM32">
        <f>31257.54</f>
        <v>31257.54</v>
      </c>
      <c r="CN32">
        <f>31347.248</f>
        <v>31347.248</v>
      </c>
      <c r="CO32">
        <f>31206.024</f>
        <v>31206.024000000001</v>
      </c>
      <c r="CP32">
        <f>31208.964</f>
        <v>31208.964</v>
      </c>
      <c r="CQ32">
        <f>30868.948</f>
        <v>30868.948</v>
      </c>
      <c r="CR32">
        <f>31212.607</f>
        <v>31212.607</v>
      </c>
      <c r="CS32">
        <f>30922.12</f>
        <v>30922.12</v>
      </c>
      <c r="CT32">
        <f>30575.792</f>
        <v>30575.792000000001</v>
      </c>
      <c r="CU32">
        <f>30082.443</f>
        <v>30082.442999999999</v>
      </c>
      <c r="CV32">
        <f>30848.845</f>
        <v>30848.845000000001</v>
      </c>
      <c r="CW32">
        <f>29285.55</f>
        <v>29285.55</v>
      </c>
      <c r="CX32">
        <f>28439.659</f>
        <v>28439.659</v>
      </c>
      <c r="CY32">
        <f>28195.367</f>
        <v>28195.366999999998</v>
      </c>
      <c r="CZ32">
        <f>27385.704</f>
        <v>27385.704000000002</v>
      </c>
      <c r="DA32">
        <f>25808.4</f>
        <v>25808.400000000001</v>
      </c>
      <c r="DB32">
        <f>21807.301</f>
        <v>21807.300999999999</v>
      </c>
      <c r="DC32">
        <f>22311.742</f>
        <v>22311.741999999998</v>
      </c>
      <c r="DD32">
        <f>22215.5</f>
        <v>22215.5</v>
      </c>
      <c r="DE32">
        <f>20150.698</f>
        <v>20150.698</v>
      </c>
      <c r="DF32">
        <f>17845.747</f>
        <v>17845.746999999999</v>
      </c>
      <c r="DG32">
        <f>17233.512</f>
        <v>17233.511999999999</v>
      </c>
      <c r="DH32">
        <f>15341.741</f>
        <v>15341.741</v>
      </c>
      <c r="DI32">
        <f>14417.929</f>
        <v>14417.929</v>
      </c>
      <c r="DJ32">
        <f>14362.356</f>
        <v>14362.356</v>
      </c>
      <c r="DK32">
        <f>14558.31</f>
        <v>14558.31</v>
      </c>
      <c r="DL32">
        <f>14708.494</f>
        <v>14708.494000000001</v>
      </c>
      <c r="DM32">
        <f>15250.107</f>
        <v>15250.107</v>
      </c>
      <c r="DN32">
        <f>14519.375</f>
        <v>14519.375</v>
      </c>
      <c r="DO32">
        <f>15384.949</f>
        <v>15384.949000000001</v>
      </c>
      <c r="DP32">
        <f>14660.333</f>
        <v>14660.333000000001</v>
      </c>
      <c r="DQ32">
        <f>14266.92</f>
        <v>14266.92</v>
      </c>
      <c r="DR32">
        <f>14546.322</f>
        <v>14546.322</v>
      </c>
      <c r="DS32">
        <f>15081.193</f>
        <v>15081.192999999999</v>
      </c>
      <c r="DT32">
        <f>15127.202</f>
        <v>15127.201999999999</v>
      </c>
      <c r="DU32" t="str">
        <f>""</f>
        <v/>
      </c>
    </row>
    <row r="33" spans="1:125" x14ac:dyDescent="0.25">
      <c r="A33" t="str">
        <f>"                First Citizens BancShares Inc/"</f>
        <v xml:space="preserve">                First Citizens BancShares Inc/</v>
      </c>
      <c r="B33" t="str">
        <f>"FCNCA US Equity"</f>
        <v>FCNCA US Equity</v>
      </c>
      <c r="C33" t="str">
        <f t="shared" si="3"/>
        <v>FC471</v>
      </c>
      <c r="D33" t="str">
        <f t="shared" si="4"/>
        <v>FDIC_SECS_AVAIL_FOR_SALE_MKT_VAL</v>
      </c>
      <c r="E33" t="str">
        <f t="shared" si="5"/>
        <v>Dynamic</v>
      </c>
      <c r="F33">
        <f ca="1">IF(AND(ISNUMBER($F$174),$B$145=1),$F$174,HLOOKUP(INDIRECT(ADDRESS(2,COLUMN())),OFFSET($BN$2,0,0,ROW()-1,60),ROW()-1,FALSE))</f>
        <v>33751</v>
      </c>
      <c r="G33">
        <f ca="1">IF(AND(ISNUMBER($G$174),$B$145=1),$G$174,HLOOKUP(INDIRECT(ADDRESS(2,COLUMN())),OFFSET($BN$2,0,0,ROW()-1,60),ROW()-1,FALSE))</f>
        <v>28190</v>
      </c>
      <c r="H33">
        <f ca="1">IF(AND(ISNUMBER($H$174),$B$145=1),$H$174,HLOOKUP(INDIRECT(ADDRESS(2,COLUMN())),OFFSET($BN$2,0,0,ROW()-1,60),ROW()-1,FALSE))</f>
        <v>27053</v>
      </c>
      <c r="I33">
        <f ca="1">IF(AND(ISNUMBER($I$174),$B$145=1),$I$174,HLOOKUP(INDIRECT(ADDRESS(2,COLUMN())),OFFSET($BN$2,0,0,ROW()-1,60),ROW()-1,FALSE))</f>
        <v>24915</v>
      </c>
      <c r="J33">
        <f ca="1">IF(AND(ISNUMBER($J$174),$B$145=1),$J$174,HLOOKUP(INDIRECT(ADDRESS(2,COLUMN())),OFFSET($BN$2,0,0,ROW()-1,60),ROW()-1,FALSE))</f>
        <v>19935.712</v>
      </c>
      <c r="K33">
        <f ca="1">IF(AND(ISNUMBER($K$174),$B$145=1),$K$174,HLOOKUP(INDIRECT(ADDRESS(2,COLUMN())),OFFSET($BN$2,0,0,ROW()-1,60),ROW()-1,FALSE))</f>
        <v>16660.905999999999</v>
      </c>
      <c r="L33">
        <f ca="1">IF(AND(ISNUMBER($L$174),$B$145=1),$L$174,HLOOKUP(INDIRECT(ADDRESS(2,COLUMN())),OFFSET($BN$2,0,0,ROW()-1,60),ROW()-1,FALSE))</f>
        <v>11894.233</v>
      </c>
      <c r="M33">
        <f ca="1">IF(AND(ISNUMBER($M$174),$B$145=1),$M$174,HLOOKUP(INDIRECT(ADDRESS(2,COLUMN())),OFFSET($BN$2,0,0,ROW()-1,60),ROW()-1,FALSE))</f>
        <v>9061.402</v>
      </c>
      <c r="N33">
        <f ca="1">IF(AND(ISNUMBER($N$174),$B$145=1),$N$174,HLOOKUP(INDIRECT(ADDRESS(2,COLUMN())),OFFSET($BN$2,0,0,ROW()-1,60),ROW()-1,FALSE))</f>
        <v>8995.1039999999994</v>
      </c>
      <c r="O33">
        <f ca="1">IF(AND(ISNUMBER($O$174),$B$145=1),$O$174,HLOOKUP(INDIRECT(ADDRESS(2,COLUMN())),OFFSET($BN$2,0,0,ROW()-1,60),ROW()-1,FALSE))</f>
        <v>9087.6039999999994</v>
      </c>
      <c r="P33">
        <f ca="1">IF(AND(ISNUMBER($P$174),$B$145=1),$P$174,HLOOKUP(INDIRECT(ADDRESS(2,COLUMN())),OFFSET($BN$2,0,0,ROW()-1,60),ROW()-1,FALSE))</f>
        <v>9209.598</v>
      </c>
      <c r="Q33">
        <f ca="1">IF(AND(ISNUMBER($Q$174),$B$145=1),$Q$174,HLOOKUP(INDIRECT(ADDRESS(2,COLUMN())),OFFSET($BN$2,0,0,ROW()-1,60),ROW()-1,FALSE))</f>
        <v>9295.24</v>
      </c>
      <c r="R33">
        <f ca="1">IF(AND(ISNUMBER($R$174),$B$145=1),$R$174,HLOOKUP(INDIRECT(ADDRESS(2,COLUMN())),OFFSET($BN$2,0,0,ROW()-1,60),ROW()-1,FALSE))</f>
        <v>9203.4269999999997</v>
      </c>
      <c r="S33">
        <f ca="1">IF(AND(ISNUMBER($S$174),$B$145=1),$S$174,HLOOKUP(INDIRECT(ADDRESS(2,COLUMN())),OFFSET($BN$2,0,0,ROW()-1,60),ROW()-1,FALSE))</f>
        <v>7371.1289999999999</v>
      </c>
      <c r="T33">
        <f ca="1">IF(AND(ISNUMBER($T$174),$B$145=1),$T$174,HLOOKUP(INDIRECT(ADDRESS(2,COLUMN())),OFFSET($BN$2,0,0,ROW()-1,60),ROW()-1,FALSE))</f>
        <v>7381.0829999999996</v>
      </c>
      <c r="U33">
        <f ca="1">IF(AND(ISNUMBER($U$174),$B$145=1),$U$174,HLOOKUP(INDIRECT(ADDRESS(2,COLUMN())),OFFSET($BN$2,0,0,ROW()-1,60),ROW()-1,FALSE))</f>
        <v>7307.1220000000003</v>
      </c>
      <c r="V33">
        <f ca="1">IF(AND(ISNUMBER($V$174),$B$145=1),$V$174,HLOOKUP(INDIRECT(ADDRESS(2,COLUMN())),OFFSET($BN$2,0,0,ROW()-1,60),ROW()-1,FALSE))</f>
        <v>7014.2430000000004</v>
      </c>
      <c r="W33">
        <f ca="1">IF(AND(ISNUMBER($W$174),$B$145=1),$W$174,HLOOKUP(INDIRECT(ADDRESS(2,COLUMN())),OFFSET($BN$2,0,0,ROW()-1,60),ROW()-1,FALSE))</f>
        <v>9019.7880000000005</v>
      </c>
      <c r="X33">
        <f ca="1">IF(AND(ISNUMBER($X$174),$B$145=1),$X$174,HLOOKUP(INDIRECT(ADDRESS(2,COLUMN())),OFFSET($BN$2,0,0,ROW()-1,60),ROW()-1,FALSE))</f>
        <v>8619.2819999999992</v>
      </c>
      <c r="Y33">
        <f ca="1">IF(AND(ISNUMBER($Y$174),$B$145=1),$Y$174,HLOOKUP(INDIRECT(ADDRESS(2,COLUMN())),OFFSET($BN$2,0,0,ROW()-1,60),ROW()-1,FALSE))</f>
        <v>7789.0339999999997</v>
      </c>
      <c r="Z33">
        <f ca="1">IF(AND(ISNUMBER($Z$174),$B$145=1),$Z$174,HLOOKUP(INDIRECT(ADDRESS(2,COLUMN())),OFFSET($BN$2,0,0,ROW()-1,60),ROW()-1,FALSE))</f>
        <v>7059.674</v>
      </c>
      <c r="AA33">
        <f ca="1">IF(AND(ISNUMBER($AA$174),$B$145=1),$AA$174,HLOOKUP(INDIRECT(ADDRESS(2,COLUMN())),OFFSET($BN$2,0,0,ROW()-1,60),ROW()-1,FALSE))</f>
        <v>4904.8829999999998</v>
      </c>
      <c r="AB33">
        <f ca="1">IF(AND(ISNUMBER($AB$174),$B$145=1),$AB$174,HLOOKUP(INDIRECT(ADDRESS(2,COLUMN())),OFFSET($BN$2,0,0,ROW()-1,60),ROW()-1,FALSE))</f>
        <v>4366.0410000000002</v>
      </c>
      <c r="AC33">
        <f ca="1">IF(AND(ISNUMBER($AC$174),$B$145=1),$AC$174,HLOOKUP(INDIRECT(ADDRESS(2,COLUMN())),OFFSET($BN$2,0,0,ROW()-1,60),ROW()-1,FALSE))</f>
        <v>4589.8</v>
      </c>
      <c r="AD33">
        <f ca="1">IF(AND(ISNUMBER($AD$174),$B$145=1),$AD$174,HLOOKUP(INDIRECT(ADDRESS(2,COLUMN())),OFFSET($BN$2,0,0,ROW()-1,60),ROW()-1,FALSE))</f>
        <v>4557.1099999999997</v>
      </c>
      <c r="AE33">
        <f ca="1">IF(AND(ISNUMBER($AE$174),$B$145=1),$AE$174,HLOOKUP(INDIRECT(ADDRESS(2,COLUMN())),OFFSET($BN$2,0,0,ROW()-1,60),ROW()-1,FALSE))</f>
        <v>4677.3509999999997</v>
      </c>
      <c r="AF33">
        <f ca="1">IF(AND(ISNUMBER($AF$174),$B$145=1),$AF$174,HLOOKUP(INDIRECT(ADDRESS(2,COLUMN())),OFFSET($BN$2,0,0,ROW()-1,60),ROW()-1,FALSE))</f>
        <v>4783.5069999999996</v>
      </c>
      <c r="AG33">
        <f ca="1">IF(AND(ISNUMBER($AG$174),$B$145=1),$AG$174,HLOOKUP(INDIRECT(ADDRESS(2,COLUMN())),OFFSET($BN$2,0,0,ROW()-1,60),ROW()-1,FALSE))</f>
        <v>6857.74</v>
      </c>
      <c r="AH33">
        <f ca="1">IF(AND(ISNUMBER($AH$174),$B$145=1),$AH$174,HLOOKUP(INDIRECT(ADDRESS(2,COLUMN())),OFFSET($BN$2,0,0,ROW()-1,60),ROW()-1,FALSE))</f>
        <v>7180.18</v>
      </c>
      <c r="AI33">
        <f ca="1">IF(AND(ISNUMBER($AI$174),$B$145=1),$AI$174,HLOOKUP(INDIRECT(ADDRESS(2,COLUMN())),OFFSET($BN$2,0,0,ROW()-1,60),ROW()-1,FALSE))</f>
        <v>6992.8770000000004</v>
      </c>
      <c r="AJ33">
        <f ca="1">IF(AND(ISNUMBER($AJ$174),$B$145=1),$AJ$174,HLOOKUP(INDIRECT(ADDRESS(2,COLUMN())),OFFSET($BN$2,0,0,ROW()-1,60),ROW()-1,FALSE))</f>
        <v>6596.45</v>
      </c>
      <c r="AK33">
        <f ca="1">IF(AND(ISNUMBER($AK$174),$B$145=1),$AK$174,HLOOKUP(INDIRECT(ADDRESS(2,COLUMN())),OFFSET($BN$2,0,0,ROW()-1,60),ROW()-1,FALSE))</f>
        <v>7119.8609999999999</v>
      </c>
      <c r="AL33">
        <f ca="1">IF(AND(ISNUMBER($AL$174),$B$145=1),$AL$174,HLOOKUP(INDIRECT(ADDRESS(2,COLUMN())),OFFSET($BN$2,0,0,ROW()-1,60),ROW()-1,FALSE))</f>
        <v>7006.58</v>
      </c>
      <c r="AM33">
        <f ca="1">IF(AND(ISNUMBER($AM$174),$B$145=1),$AM$174,HLOOKUP(INDIRECT(ADDRESS(2,COLUMN())),OFFSET($BN$2,0,0,ROW()-1,60),ROW()-1,FALSE))</f>
        <v>6459.8149999999996</v>
      </c>
      <c r="AN33">
        <f ca="1">IF(AND(ISNUMBER($AN$174),$B$145=1),$AN$174,HLOOKUP(INDIRECT(ADDRESS(2,COLUMN())),OFFSET($BN$2,0,0,ROW()-1,60),ROW()-1,FALSE))</f>
        <v>6632.58</v>
      </c>
      <c r="AO33">
        <f ca="1">IF(AND(ISNUMBER($AO$174),$B$145=1),$AO$174,HLOOKUP(INDIRECT(ADDRESS(2,COLUMN())),OFFSET($BN$2,0,0,ROW()-1,60),ROW()-1,FALSE))</f>
        <v>6762.2889999999998</v>
      </c>
      <c r="AP33">
        <f ca="1">IF(AND(ISNUMBER($AP$174),$B$145=1),$AP$174,HLOOKUP(INDIRECT(ADDRESS(2,COLUMN())),OFFSET($BN$2,0,0,ROW()-1,60),ROW()-1,FALSE))</f>
        <v>6936.2929999999997</v>
      </c>
      <c r="AQ33">
        <f ca="1">IF(AND(ISNUMBER($AQ$174),$B$145=1),$AQ$174,HLOOKUP(INDIRECT(ADDRESS(2,COLUMN())),OFFSET($BN$2,0,0,ROW()-1,60),ROW()-1,FALSE))</f>
        <v>6765.5780000000004</v>
      </c>
      <c r="AR33">
        <f ca="1">IF(AND(ISNUMBER($AR$174),$B$145=1),$AR$174,HLOOKUP(INDIRECT(ADDRESS(2,COLUMN())),OFFSET($BN$2,0,0,ROW()-1,60),ROW()-1,FALSE))</f>
        <v>7425.1940000000004</v>
      </c>
      <c r="AS33">
        <f ca="1">IF(AND(ISNUMBER($AS$174),$B$145=1),$AS$174,HLOOKUP(INDIRECT(ADDRESS(2,COLUMN())),OFFSET($BN$2,0,0,ROW()-1,60),ROW()-1,FALSE))</f>
        <v>7120.1090000000004</v>
      </c>
      <c r="AT33">
        <f ca="1">IF(AND(ISNUMBER($AT$174),$B$145=1),$AT$174,HLOOKUP(INDIRECT(ADDRESS(2,COLUMN())),OFFSET($BN$2,0,0,ROW()-1,60),ROW()-1,FALSE))</f>
        <v>7246.9170000000004</v>
      </c>
      <c r="AU33">
        <f ca="1">IF(AND(ISNUMBER($AU$174),$B$145=1),$AU$174,HLOOKUP(INDIRECT(ADDRESS(2,COLUMN())),OFFSET($BN$2,0,0,ROW()-1,60),ROW()-1,FALSE))</f>
        <v>5698.0940000000001</v>
      </c>
      <c r="AV33">
        <f ca="1">IF(AND(ISNUMBER($AV$174),$B$145=1),$AV$174,HLOOKUP(INDIRECT(ADDRESS(2,COLUMN())),OFFSET($BN$2,0,0,ROW()-1,60),ROW()-1,FALSE))</f>
        <v>5538.1660000000002</v>
      </c>
      <c r="AW33">
        <f ca="1">IF(AND(ISNUMBER($AW$174),$B$145=1),$AW$174,HLOOKUP(INDIRECT(ADDRESS(2,COLUMN())),OFFSET($BN$2,0,0,ROW()-1,60),ROW()-1,FALSE))</f>
        <v>5676.2370000000001</v>
      </c>
      <c r="AX33">
        <f ca="1">IF(AND(ISNUMBER($AX$174),$B$145=1),$AX$174,HLOOKUP(INDIRECT(ADDRESS(2,COLUMN())),OFFSET($BN$2,0,0,ROW()-1,60),ROW()-1,FALSE))</f>
        <v>5387.7030000000004</v>
      </c>
      <c r="AY33">
        <f ca="1">IF(AND(ISNUMBER($AY$174),$B$145=1),$AY$174,HLOOKUP(INDIRECT(ADDRESS(2,COLUMN())),OFFSET($BN$2,0,0,ROW()-1,60),ROW()-1,FALSE))</f>
        <v>5161.585</v>
      </c>
      <c r="AZ33">
        <f ca="1">IF(AND(ISNUMBER($AZ$174),$B$145=1),$AZ$174,HLOOKUP(INDIRECT(ADDRESS(2,COLUMN())),OFFSET($BN$2,0,0,ROW()-1,60),ROW()-1,FALSE))</f>
        <v>5184.9750000000004</v>
      </c>
      <c r="BA33">
        <f ca="1">IF(AND(ISNUMBER($BA$174),$B$145=1),$BA$174,HLOOKUP(INDIRECT(ADDRESS(2,COLUMN())),OFFSET($BN$2,0,0,ROW()-1,60),ROW()-1,FALSE))</f>
        <v>5279.6779999999999</v>
      </c>
      <c r="BB33">
        <f ca="1">IF(AND(ISNUMBER($BB$174),$B$145=1),$BB$174,HLOOKUP(INDIRECT(ADDRESS(2,COLUMN())),OFFSET($BN$2,0,0,ROW()-1,60),ROW()-1,FALSE))</f>
        <v>5226.2280000000001</v>
      </c>
      <c r="BC33">
        <f ca="1">IF(AND(ISNUMBER($BC$174),$B$145=1),$BC$174,HLOOKUP(INDIRECT(ADDRESS(2,COLUMN())),OFFSET($BN$2,0,0,ROW()-1,60),ROW()-1,FALSE))</f>
        <v>5012.848</v>
      </c>
      <c r="BD33">
        <f ca="1">IF(AND(ISNUMBER($BD$174),$B$145=1),$BD$174,HLOOKUP(INDIRECT(ADDRESS(2,COLUMN())),OFFSET($BN$2,0,0,ROW()-1,60),ROW()-1,FALSE))</f>
        <v>4634.2479999999996</v>
      </c>
      <c r="BE33">
        <f ca="1">IF(AND(ISNUMBER($BE$174),$B$145=1),$BE$174,HLOOKUP(INDIRECT(ADDRESS(2,COLUMN())),OFFSET($BN$2,0,0,ROW()-1,60),ROW()-1,FALSE))</f>
        <v>4457.7389999999996</v>
      </c>
      <c r="BF33">
        <f ca="1">IF(AND(ISNUMBER($BF$174),$B$145=1),$BF$174,HLOOKUP(INDIRECT(ADDRESS(2,COLUMN())),OFFSET($BN$2,0,0,ROW()-1,60),ROW()-1,FALSE))</f>
        <v>4056.4229999999998</v>
      </c>
      <c r="BG33">
        <f ca="1">IF(AND(ISNUMBER($BG$174),$B$145=1),$BG$174,HLOOKUP(INDIRECT(ADDRESS(2,COLUMN())),OFFSET($BN$2,0,0,ROW()-1,60),ROW()-1,FALSE))</f>
        <v>3994.8249999999998</v>
      </c>
      <c r="BH33">
        <f ca="1">IF(AND(ISNUMBER($BH$174),$B$145=1),$BH$174,HLOOKUP(INDIRECT(ADDRESS(2,COLUMN())),OFFSET($BN$2,0,0,ROW()-1,60),ROW()-1,FALSE))</f>
        <v>4014.241</v>
      </c>
      <c r="BI33">
        <f ca="1">IF(AND(ISNUMBER($BI$174),$B$145=1),$BI$174,HLOOKUP(INDIRECT(ADDRESS(2,COLUMN())),OFFSET($BN$2,0,0,ROW()-1,60),ROW()-1,FALSE))</f>
        <v>4202.0159999999996</v>
      </c>
      <c r="BJ33">
        <f ca="1">IF(AND(ISNUMBER($BJ$174),$B$145=1),$BJ$174,HLOOKUP(INDIRECT(ADDRESS(2,COLUMN())),OFFSET($BN$2,0,0,ROW()-1,60),ROW()-1,FALSE))</f>
        <v>4510.0770000000002</v>
      </c>
      <c r="BK33">
        <f ca="1">IF(AND(ISNUMBER($BK$174),$B$145=1),$BK$174,HLOOKUP(INDIRECT(ADDRESS(2,COLUMN())),OFFSET($BN$2,0,0,ROW()-1,60),ROW()-1,FALSE))</f>
        <v>3786.6480000000001</v>
      </c>
      <c r="BL33">
        <f ca="1">IF(AND(ISNUMBER($BL$174),$B$145=1),$BL$174,HLOOKUP(INDIRECT(ADDRESS(2,COLUMN())),OFFSET($BN$2,0,0,ROW()-1,60),ROW()-1,FALSE))</f>
        <v>3768.7310000000002</v>
      </c>
      <c r="BM33" t="str">
        <f ca="1">IF(AND(ISNUMBER($BM$174),$B$145=1),$BM$174,HLOOKUP(INDIRECT(ADDRESS(2,COLUMN())),OFFSET($BN$2,0,0,ROW()-1,60),ROW()-1,FALSE))</f>
        <v/>
      </c>
      <c r="BN33">
        <f>33751</f>
        <v>33751</v>
      </c>
      <c r="BO33">
        <f>28190</f>
        <v>28190</v>
      </c>
      <c r="BP33">
        <f>27053</f>
        <v>27053</v>
      </c>
      <c r="BQ33">
        <f>24915</f>
        <v>24915</v>
      </c>
      <c r="BR33">
        <f>19935.712</f>
        <v>19935.712</v>
      </c>
      <c r="BS33">
        <f>16660.906</f>
        <v>16660.905999999999</v>
      </c>
      <c r="BT33">
        <f>11894.233</f>
        <v>11894.233</v>
      </c>
      <c r="BU33">
        <f>9061.402</f>
        <v>9061.402</v>
      </c>
      <c r="BV33">
        <f>8995.104</f>
        <v>8995.1039999999994</v>
      </c>
      <c r="BW33">
        <f>9087.604</f>
        <v>9087.6039999999994</v>
      </c>
      <c r="BX33">
        <f>9209.598</f>
        <v>9209.598</v>
      </c>
      <c r="BY33">
        <f>9295.24</f>
        <v>9295.24</v>
      </c>
      <c r="BZ33">
        <f>9203.427</f>
        <v>9203.4269999999997</v>
      </c>
      <c r="CA33">
        <f>7371.129</f>
        <v>7371.1289999999999</v>
      </c>
      <c r="CB33">
        <f>7381.083</f>
        <v>7381.0829999999996</v>
      </c>
      <c r="CC33">
        <f>7307.122</f>
        <v>7307.1220000000003</v>
      </c>
      <c r="CD33">
        <f>7014.243</f>
        <v>7014.2430000000004</v>
      </c>
      <c r="CE33">
        <f>9019.788</f>
        <v>9019.7880000000005</v>
      </c>
      <c r="CF33">
        <f>8619.282</f>
        <v>8619.2819999999992</v>
      </c>
      <c r="CG33">
        <f>7789.034</f>
        <v>7789.0339999999997</v>
      </c>
      <c r="CH33">
        <f>7059.674</f>
        <v>7059.674</v>
      </c>
      <c r="CI33">
        <f>4904.883</f>
        <v>4904.8829999999998</v>
      </c>
      <c r="CJ33">
        <f>4366.041</f>
        <v>4366.0410000000002</v>
      </c>
      <c r="CK33">
        <f>4589.8</f>
        <v>4589.8</v>
      </c>
      <c r="CL33">
        <f>4557.11</f>
        <v>4557.1099999999997</v>
      </c>
      <c r="CM33">
        <f>4677.351</f>
        <v>4677.3509999999997</v>
      </c>
      <c r="CN33">
        <f>4783.507</f>
        <v>4783.5069999999996</v>
      </c>
      <c r="CO33">
        <f>6857.74</f>
        <v>6857.74</v>
      </c>
      <c r="CP33">
        <f>7180.18</f>
        <v>7180.18</v>
      </c>
      <c r="CQ33">
        <f>6992.877</f>
        <v>6992.8770000000004</v>
      </c>
      <c r="CR33">
        <f>6596.45</f>
        <v>6596.45</v>
      </c>
      <c r="CS33">
        <f>7119.861</f>
        <v>7119.8609999999999</v>
      </c>
      <c r="CT33">
        <f>7006.58</f>
        <v>7006.58</v>
      </c>
      <c r="CU33">
        <f>6459.815</f>
        <v>6459.8149999999996</v>
      </c>
      <c r="CV33">
        <f>6632.58</f>
        <v>6632.58</v>
      </c>
      <c r="CW33">
        <f>6762.289</f>
        <v>6762.2889999999998</v>
      </c>
      <c r="CX33">
        <f>6936.293</f>
        <v>6936.2929999999997</v>
      </c>
      <c r="CY33">
        <f>6765.578</f>
        <v>6765.5780000000004</v>
      </c>
      <c r="CZ33">
        <f>7425.194</f>
        <v>7425.1940000000004</v>
      </c>
      <c r="DA33">
        <f>7120.109</f>
        <v>7120.1090000000004</v>
      </c>
      <c r="DB33">
        <f>7246.917</f>
        <v>7246.9170000000004</v>
      </c>
      <c r="DC33">
        <f>5698.094</f>
        <v>5698.0940000000001</v>
      </c>
      <c r="DD33">
        <f>5538.166</f>
        <v>5538.1660000000002</v>
      </c>
      <c r="DE33">
        <f>5676.237</f>
        <v>5676.2370000000001</v>
      </c>
      <c r="DF33">
        <f>5387.703</f>
        <v>5387.7030000000004</v>
      </c>
      <c r="DG33">
        <f>5161.585</f>
        <v>5161.585</v>
      </c>
      <c r="DH33">
        <f>5184.975</f>
        <v>5184.9750000000004</v>
      </c>
      <c r="DI33">
        <f>5279.678</f>
        <v>5279.6779999999999</v>
      </c>
      <c r="DJ33">
        <f>5226.228</f>
        <v>5226.2280000000001</v>
      </c>
      <c r="DK33">
        <f>5012.848</f>
        <v>5012.848</v>
      </c>
      <c r="DL33">
        <f>4634.248</f>
        <v>4634.2479999999996</v>
      </c>
      <c r="DM33">
        <f>4457.739</f>
        <v>4457.7389999999996</v>
      </c>
      <c r="DN33">
        <f>4056.423</f>
        <v>4056.4229999999998</v>
      </c>
      <c r="DO33">
        <f>3994.825</f>
        <v>3994.8249999999998</v>
      </c>
      <c r="DP33">
        <f>4014.241</f>
        <v>4014.241</v>
      </c>
      <c r="DQ33">
        <f>4202.016</f>
        <v>4202.0159999999996</v>
      </c>
      <c r="DR33">
        <f>4510.077</f>
        <v>4510.0770000000002</v>
      </c>
      <c r="DS33">
        <f>3786.648</f>
        <v>3786.6480000000001</v>
      </c>
      <c r="DT33">
        <f>3768.731</f>
        <v>3768.7310000000002</v>
      </c>
      <c r="DU33" t="str">
        <f>""</f>
        <v/>
      </c>
    </row>
    <row r="34" spans="1:125" x14ac:dyDescent="0.25">
      <c r="A34" t="str">
        <f>"                Flagstar Financial Inc"</f>
        <v xml:space="preserve">                Flagstar Financial Inc</v>
      </c>
      <c r="B34" t="str">
        <f>"FLG US Equity"</f>
        <v>FLG US Equity</v>
      </c>
      <c r="C34" t="str">
        <f t="shared" si="3"/>
        <v>FC471</v>
      </c>
      <c r="D34" t="str">
        <f t="shared" si="4"/>
        <v>FDIC_SECS_AVAIL_FOR_SALE_MKT_VAL</v>
      </c>
      <c r="E34" t="str">
        <f t="shared" si="5"/>
        <v>Dynamic</v>
      </c>
      <c r="F34">
        <f ca="1">IF(AND(ISNUMBER($F$175),$B$145=1),$F$175,HLOOKUP(INDIRECT(ADDRESS(2,COLUMN())),OFFSET($BN$2,0,0,ROW()-1,60),ROW()-1,FALSE))</f>
        <v>10401.846</v>
      </c>
      <c r="G34">
        <f ca="1">IF(AND(ISNUMBER($G$175),$B$145=1),$G$175,HLOOKUP(INDIRECT(ADDRESS(2,COLUMN())),OFFSET($BN$2,0,0,ROW()-1,60),ROW()-1,FALSE))</f>
        <v>10510.848</v>
      </c>
      <c r="H34">
        <f ca="1">IF(AND(ISNUMBER($H$175),$B$145=1),$H$175,HLOOKUP(INDIRECT(ADDRESS(2,COLUMN())),OFFSET($BN$2,0,0,ROW()-1,60),ROW()-1,FALSE))</f>
        <v>10534.596</v>
      </c>
      <c r="I34">
        <f ca="1">IF(AND(ISNUMBER($I$175),$B$145=1),$I$175,HLOOKUP(INDIRECT(ADDRESS(2,COLUMN())),OFFSET($BN$2,0,0,ROW()-1,60),ROW()-1,FALSE))</f>
        <v>9336.4789999999994</v>
      </c>
      <c r="J34">
        <f ca="1">IF(AND(ISNUMBER($J$175),$B$145=1),$J$175,HLOOKUP(INDIRECT(ADDRESS(2,COLUMN())),OFFSET($BN$2,0,0,ROW()-1,60),ROW()-1,FALSE))</f>
        <v>9144.8559999999998</v>
      </c>
      <c r="K34">
        <f ca="1">IF(AND(ISNUMBER($K$175),$B$145=1),$K$175,HLOOKUP(INDIRECT(ADDRESS(2,COLUMN())),OFFSET($BN$2,0,0,ROW()-1,60),ROW()-1,FALSE))</f>
        <v>8722.6350000000002</v>
      </c>
      <c r="L34">
        <f ca="1">IF(AND(ISNUMBER($L$175),$B$145=1),$L$175,HLOOKUP(INDIRECT(ADDRESS(2,COLUMN())),OFFSET($BN$2,0,0,ROW()-1,60),ROW()-1,FALSE))</f>
        <v>7778.5609999999997</v>
      </c>
      <c r="M34">
        <f ca="1">IF(AND(ISNUMBER($M$175),$B$145=1),$M$175,HLOOKUP(INDIRECT(ADDRESS(2,COLUMN())),OFFSET($BN$2,0,0,ROW()-1,60),ROW()-1,FALSE))</f>
        <v>7599.0450000000001</v>
      </c>
      <c r="N34">
        <f ca="1">IF(AND(ISNUMBER($N$175),$B$145=1),$N$175,HLOOKUP(INDIRECT(ADDRESS(2,COLUMN())),OFFSET($BN$2,0,0,ROW()-1,60),ROW()-1,FALSE))</f>
        <v>9059.7389999999996</v>
      </c>
      <c r="O34">
        <f ca="1">IF(AND(ISNUMBER($O$175),$B$145=1),$O$175,HLOOKUP(INDIRECT(ADDRESS(2,COLUMN())),OFFSET($BN$2,0,0,ROW()-1,60),ROW()-1,FALSE))</f>
        <v>6689.1559999999999</v>
      </c>
      <c r="P34">
        <f ca="1">IF(AND(ISNUMBER($P$175),$B$145=1),$P$175,HLOOKUP(INDIRECT(ADDRESS(2,COLUMN())),OFFSET($BN$2,0,0,ROW()-1,60),ROW()-1,FALSE))</f>
        <v>5663.6270000000004</v>
      </c>
      <c r="Q34">
        <f ca="1">IF(AND(ISNUMBER($Q$175),$B$145=1),$Q$175,HLOOKUP(INDIRECT(ADDRESS(2,COLUMN())),OFFSET($BN$2,0,0,ROW()-1,60),ROW()-1,FALSE))</f>
        <v>5612.0259999999998</v>
      </c>
      <c r="R34">
        <f ca="1">IF(AND(ISNUMBER($R$175),$B$145=1),$R$175,HLOOKUP(INDIRECT(ADDRESS(2,COLUMN())),OFFSET($BN$2,0,0,ROW()-1,60),ROW()-1,FALSE))</f>
        <v>5779.97</v>
      </c>
      <c r="S34">
        <f ca="1">IF(AND(ISNUMBER($S$175),$B$145=1),$S$175,HLOOKUP(INDIRECT(ADDRESS(2,COLUMN())),OFFSET($BN$2,0,0,ROW()-1,60),ROW()-1,FALSE))</f>
        <v>5898.2129999999997</v>
      </c>
      <c r="T34">
        <f ca="1">IF(AND(ISNUMBER($T$175),$B$145=1),$T$175,HLOOKUP(INDIRECT(ADDRESS(2,COLUMN())),OFFSET($BN$2,0,0,ROW()-1,60),ROW()-1,FALSE))</f>
        <v>6077.3180000000002</v>
      </c>
      <c r="U34">
        <f ca="1">IF(AND(ISNUMBER($U$175),$B$145=1),$U$175,HLOOKUP(INDIRECT(ADDRESS(2,COLUMN())),OFFSET($BN$2,0,0,ROW()-1,60),ROW()-1,FALSE))</f>
        <v>6177.9049999999997</v>
      </c>
      <c r="V34">
        <f ca="1">IF(AND(ISNUMBER($V$175),$B$145=1),$V$175,HLOOKUP(INDIRECT(ADDRESS(2,COLUMN())),OFFSET($BN$2,0,0,ROW()-1,60),ROW()-1,FALSE))</f>
        <v>5813.3329999999996</v>
      </c>
      <c r="W34">
        <f ca="1">IF(AND(ISNUMBER($W$175),$B$145=1),$W$175,HLOOKUP(INDIRECT(ADDRESS(2,COLUMN())),OFFSET($BN$2,0,0,ROW()-1,60),ROW()-1,FALSE))</f>
        <v>5233.7439999999997</v>
      </c>
      <c r="X34">
        <f ca="1">IF(AND(ISNUMBER($X$175),$B$145=1),$X$175,HLOOKUP(INDIRECT(ADDRESS(2,COLUMN())),OFFSET($BN$2,0,0,ROW()-1,60),ROW()-1,FALSE))</f>
        <v>5168.1819999999998</v>
      </c>
      <c r="Y34">
        <f ca="1">IF(AND(ISNUMBER($Y$175),$B$145=1),$Y$175,HLOOKUP(INDIRECT(ADDRESS(2,COLUMN())),OFFSET($BN$2,0,0,ROW()-1,60),ROW()-1,FALSE))</f>
        <v>5455.2460000000001</v>
      </c>
      <c r="Z34">
        <f ca="1">IF(AND(ISNUMBER($Z$175),$B$145=1),$Z$175,HLOOKUP(INDIRECT(ADDRESS(2,COLUMN())),OFFSET($BN$2,0,0,ROW()-1,60),ROW()-1,FALSE))</f>
        <v>5853.0569999999998</v>
      </c>
      <c r="AA34">
        <f ca="1">IF(AND(ISNUMBER($AA$175),$B$145=1),$AA$175,HLOOKUP(INDIRECT(ADDRESS(2,COLUMN())),OFFSET($BN$2,0,0,ROW()-1,60),ROW()-1,FALSE))</f>
        <v>5854.5680000000002</v>
      </c>
      <c r="AB34">
        <f ca="1">IF(AND(ISNUMBER($AB$175),$B$145=1),$AB$175,HLOOKUP(INDIRECT(ADDRESS(2,COLUMN())),OFFSET($BN$2,0,0,ROW()-1,60),ROW()-1,FALSE))</f>
        <v>5738.1459999999997</v>
      </c>
      <c r="AC34">
        <f ca="1">IF(AND(ISNUMBER($AC$175),$B$145=1),$AC$175,HLOOKUP(INDIRECT(ADDRESS(2,COLUMN())),OFFSET($BN$2,0,0,ROW()-1,60),ROW()-1,FALSE))</f>
        <v>5724.6440000000002</v>
      </c>
      <c r="AD34">
        <f ca="1">IF(AND(ISNUMBER($AD$175),$B$145=1),$AD$175,HLOOKUP(INDIRECT(ADDRESS(2,COLUMN())),OFFSET($BN$2,0,0,ROW()-1,60),ROW()-1,FALSE))</f>
        <v>5613.52</v>
      </c>
      <c r="AE34">
        <f ca="1">IF(AND(ISNUMBER($AE$175),$B$145=1),$AE$175,HLOOKUP(INDIRECT(ADDRESS(2,COLUMN())),OFFSET($BN$2,0,0,ROW()-1,60),ROW()-1,FALSE))</f>
        <v>4764.2830000000004</v>
      </c>
      <c r="AF34">
        <f ca="1">IF(AND(ISNUMBER($AF$175),$B$145=1),$AF$175,HLOOKUP(INDIRECT(ADDRESS(2,COLUMN())),OFFSET($BN$2,0,0,ROW()-1,60),ROW()-1,FALSE))</f>
        <v>4122.8829999999998</v>
      </c>
      <c r="AG34">
        <f ca="1">IF(AND(ISNUMBER($AG$175),$B$145=1),$AG$175,HLOOKUP(INDIRECT(ADDRESS(2,COLUMN())),OFFSET($BN$2,0,0,ROW()-1,60),ROW()-1,FALSE))</f>
        <v>3391.9520000000002</v>
      </c>
      <c r="AH34">
        <f ca="1">IF(AND(ISNUMBER($AH$175),$B$145=1),$AH$175,HLOOKUP(INDIRECT(ADDRESS(2,COLUMN())),OFFSET($BN$2,0,0,ROW()-1,60),ROW()-1,FALSE))</f>
        <v>3531.4270000000001</v>
      </c>
      <c r="AI34">
        <f ca="1">IF(AND(ISNUMBER($AI$175),$B$145=1),$AI$175,HLOOKUP(INDIRECT(ADDRESS(2,COLUMN())),OFFSET($BN$2,0,0,ROW()-1,60),ROW()-1,FALSE))</f>
        <v>3031.0259999999998</v>
      </c>
      <c r="AJ34">
        <f ca="1">IF(AND(ISNUMBER($AJ$175),$B$145=1),$AJ$175,HLOOKUP(INDIRECT(ADDRESS(2,COLUMN())),OFFSET($BN$2,0,0,ROW()-1,60),ROW()-1,FALSE))</f>
        <v>3171.1170000000002</v>
      </c>
      <c r="AK34">
        <f ca="1">IF(AND(ISNUMBER($AK$175),$B$145=1),$AK$175,HLOOKUP(INDIRECT(ADDRESS(2,COLUMN())),OFFSET($BN$2,0,0,ROW()-1,60),ROW()-1,FALSE))</f>
        <v>50.223999999999997</v>
      </c>
      <c r="AL34">
        <f ca="1">IF(AND(ISNUMBER($AL$175),$B$145=1),$AL$175,HLOOKUP(INDIRECT(ADDRESS(2,COLUMN())),OFFSET($BN$2,0,0,ROW()-1,60),ROW()-1,FALSE))</f>
        <v>104.28100000000001</v>
      </c>
      <c r="AM34">
        <f ca="1">IF(AND(ISNUMBER($AM$175),$B$145=1),$AM$175,HLOOKUP(INDIRECT(ADDRESS(2,COLUMN())),OFFSET($BN$2,0,0,ROW()-1,60),ROW()-1,FALSE))</f>
        <v>161.14500000000001</v>
      </c>
      <c r="AN34">
        <f ca="1">IF(AND(ISNUMBER($AN$175),$B$145=1),$AN$175,HLOOKUP(INDIRECT(ADDRESS(2,COLUMN())),OFFSET($BN$2,0,0,ROW()-1,60),ROW()-1,FALSE))</f>
        <v>154.27000000000001</v>
      </c>
      <c r="AO34">
        <f ca="1">IF(AND(ISNUMBER($AO$175),$B$145=1),$AO$175,HLOOKUP(INDIRECT(ADDRESS(2,COLUMN())),OFFSET($BN$2,0,0,ROW()-1,60),ROW()-1,FALSE))</f>
        <v>152.249</v>
      </c>
      <c r="AP34">
        <f ca="1">IF(AND(ISNUMBER($AP$175),$B$145=1),$AP$175,HLOOKUP(INDIRECT(ADDRESS(2,COLUMN())),OFFSET($BN$2,0,0,ROW()-1,60),ROW()-1,FALSE))</f>
        <v>204.255</v>
      </c>
      <c r="AQ34">
        <f ca="1">IF(AND(ISNUMBER($AQ$175),$B$145=1),$AQ$175,HLOOKUP(INDIRECT(ADDRESS(2,COLUMN())),OFFSET($BN$2,0,0,ROW()-1,60),ROW()-1,FALSE))</f>
        <v>162.327</v>
      </c>
      <c r="AR34">
        <f ca="1">IF(AND(ISNUMBER($AR$175),$B$145=1),$AR$175,HLOOKUP(INDIRECT(ADDRESS(2,COLUMN())),OFFSET($BN$2,0,0,ROW()-1,60),ROW()-1,FALSE))</f>
        <v>165.142</v>
      </c>
      <c r="AS34">
        <f ca="1">IF(AND(ISNUMBER($AS$175),$B$145=1),$AS$175,HLOOKUP(INDIRECT(ADDRESS(2,COLUMN())),OFFSET($BN$2,0,0,ROW()-1,60),ROW()-1,FALSE))</f>
        <v>175.71199999999999</v>
      </c>
      <c r="AT34">
        <f ca="1">IF(AND(ISNUMBER($AT$175),$B$145=1),$AT$175,HLOOKUP(INDIRECT(ADDRESS(2,COLUMN())),OFFSET($BN$2,0,0,ROW()-1,60),ROW()-1,FALSE))</f>
        <v>173.78399999999999</v>
      </c>
      <c r="AU34">
        <f ca="1">IF(AND(ISNUMBER($AU$175),$B$145=1),$AU$175,HLOOKUP(INDIRECT(ADDRESS(2,COLUMN())),OFFSET($BN$2,0,0,ROW()-1,60),ROW()-1,FALSE))</f>
        <v>243.03200000000001</v>
      </c>
      <c r="AV34">
        <f ca="1">IF(AND(ISNUMBER($AV$175),$B$145=1),$AV$175,HLOOKUP(INDIRECT(ADDRESS(2,COLUMN())),OFFSET($BN$2,0,0,ROW()-1,60),ROW()-1,FALSE))</f>
        <v>245.047</v>
      </c>
      <c r="AW34">
        <f ca="1">IF(AND(ISNUMBER($AW$175),$B$145=1),$AW$175,HLOOKUP(INDIRECT(ADDRESS(2,COLUMN())),OFFSET($BN$2,0,0,ROW()-1,60),ROW()-1,FALSE))</f>
        <v>245.321</v>
      </c>
      <c r="AX34">
        <f ca="1">IF(AND(ISNUMBER($AX$175),$B$145=1),$AX$175,HLOOKUP(INDIRECT(ADDRESS(2,COLUMN())),OFFSET($BN$2,0,0,ROW()-1,60),ROW()-1,FALSE))</f>
        <v>280.738</v>
      </c>
      <c r="AY34">
        <f ca="1">IF(AND(ISNUMBER($AY$175),$B$145=1),$AY$175,HLOOKUP(INDIRECT(ADDRESS(2,COLUMN())),OFFSET($BN$2,0,0,ROW()-1,60),ROW()-1,FALSE))</f>
        <v>305.70400000000001</v>
      </c>
      <c r="AZ34">
        <f ca="1">IF(AND(ISNUMBER($AZ$175),$B$145=1),$AZ$175,HLOOKUP(INDIRECT(ADDRESS(2,COLUMN())),OFFSET($BN$2,0,0,ROW()-1,60),ROW()-1,FALSE))</f>
        <v>315.09100000000001</v>
      </c>
      <c r="BA34">
        <f ca="1">IF(AND(ISNUMBER($BA$175),$B$145=1),$BA$175,HLOOKUP(INDIRECT(ADDRESS(2,COLUMN())),OFFSET($BN$2,0,0,ROW()-1,60),ROW()-1,FALSE))</f>
        <v>324.36099999999999</v>
      </c>
      <c r="BB34">
        <f ca="1">IF(AND(ISNUMBER($BB$175),$B$145=1),$BB$175,HLOOKUP(INDIRECT(ADDRESS(2,COLUMN())),OFFSET($BN$2,0,0,ROW()-1,60),ROW()-1,FALSE))</f>
        <v>429.26600000000002</v>
      </c>
      <c r="BC34">
        <f ca="1">IF(AND(ISNUMBER($BC$175),$B$145=1),$BC$175,HLOOKUP(INDIRECT(ADDRESS(2,COLUMN())),OFFSET($BN$2,0,0,ROW()-1,60),ROW()-1,FALSE))</f>
        <v>378.51400000000001</v>
      </c>
      <c r="BD34">
        <f ca="1">IF(AND(ISNUMBER($BD$175),$B$145=1),$BD$175,HLOOKUP(INDIRECT(ADDRESS(2,COLUMN())),OFFSET($BN$2,0,0,ROW()-1,60),ROW()-1,FALSE))</f>
        <v>411.50299999999999</v>
      </c>
      <c r="BE34">
        <f ca="1">IF(AND(ISNUMBER($BE$175),$B$145=1),$BE$175,HLOOKUP(INDIRECT(ADDRESS(2,COLUMN())),OFFSET($BN$2,0,0,ROW()-1,60),ROW()-1,FALSE))</f>
        <v>572.73800000000006</v>
      </c>
      <c r="BF34">
        <f ca="1">IF(AND(ISNUMBER($BF$175),$B$145=1),$BF$175,HLOOKUP(INDIRECT(ADDRESS(2,COLUMN())),OFFSET($BN$2,0,0,ROW()-1,60),ROW()-1,FALSE))</f>
        <v>724.66200000000003</v>
      </c>
      <c r="BG34">
        <f ca="1">IF(AND(ISNUMBER($BG$175),$B$145=1),$BG$175,HLOOKUP(INDIRECT(ADDRESS(2,COLUMN())),OFFSET($BN$2,0,0,ROW()-1,60),ROW()-1,FALSE))</f>
        <v>499.065</v>
      </c>
      <c r="BH34">
        <f ca="1">IF(AND(ISNUMBER($BH$175),$B$145=1),$BH$175,HLOOKUP(INDIRECT(ADDRESS(2,COLUMN())),OFFSET($BN$2,0,0,ROW()-1,60),ROW()-1,FALSE))</f>
        <v>162.273</v>
      </c>
      <c r="BI34">
        <f ca="1">IF(AND(ISNUMBER($BI$175),$B$145=1),$BI$175,HLOOKUP(INDIRECT(ADDRESS(2,COLUMN())),OFFSET($BN$2,0,0,ROW()-1,60),ROW()-1,FALSE))</f>
        <v>490.77800000000002</v>
      </c>
      <c r="BJ34">
        <f ca="1">IF(AND(ISNUMBER($BJ$175),$B$145=1),$BJ$175,HLOOKUP(INDIRECT(ADDRESS(2,COLUMN())),OFFSET($BN$2,0,0,ROW()-1,60),ROW()-1,FALSE))</f>
        <v>652.95600000000002</v>
      </c>
      <c r="BK34">
        <f ca="1">IF(AND(ISNUMBER($BK$175),$B$145=1),$BK$175,HLOOKUP(INDIRECT(ADDRESS(2,COLUMN())),OFFSET($BN$2,0,0,ROW()-1,60),ROW()-1,FALSE))</f>
        <v>728.16600000000005</v>
      </c>
      <c r="BL34">
        <f ca="1">IF(AND(ISNUMBER($BL$175),$B$145=1),$BL$175,HLOOKUP(INDIRECT(ADDRESS(2,COLUMN())),OFFSET($BN$2,0,0,ROW()-1,60),ROW()-1,FALSE))</f>
        <v>931.93499999999995</v>
      </c>
      <c r="BM34" t="str">
        <f ca="1">IF(AND(ISNUMBER($BM$175),$B$145=1),$BM$175,HLOOKUP(INDIRECT(ADDRESS(2,COLUMN())),OFFSET($BN$2,0,0,ROW()-1,60),ROW()-1,FALSE))</f>
        <v/>
      </c>
      <c r="BN34">
        <f>10401.846</f>
        <v>10401.846</v>
      </c>
      <c r="BO34">
        <f>10510.848</f>
        <v>10510.848</v>
      </c>
      <c r="BP34">
        <f>10534.596</f>
        <v>10534.596</v>
      </c>
      <c r="BQ34">
        <f>9336.479</f>
        <v>9336.4789999999994</v>
      </c>
      <c r="BR34">
        <f>9144.856</f>
        <v>9144.8559999999998</v>
      </c>
      <c r="BS34">
        <f>8722.635</f>
        <v>8722.6350000000002</v>
      </c>
      <c r="BT34">
        <f>7778.561</f>
        <v>7778.5609999999997</v>
      </c>
      <c r="BU34">
        <f>7599.045</f>
        <v>7599.0450000000001</v>
      </c>
      <c r="BV34">
        <f>9059.739</f>
        <v>9059.7389999999996</v>
      </c>
      <c r="BW34">
        <f>6689.156</f>
        <v>6689.1559999999999</v>
      </c>
      <c r="BX34">
        <f>5663.627</f>
        <v>5663.6270000000004</v>
      </c>
      <c r="BY34">
        <f>5612.026</f>
        <v>5612.0259999999998</v>
      </c>
      <c r="BZ34">
        <f>5779.97</f>
        <v>5779.97</v>
      </c>
      <c r="CA34">
        <f>5898.213</f>
        <v>5898.2129999999997</v>
      </c>
      <c r="CB34">
        <f>6077.318</f>
        <v>6077.3180000000002</v>
      </c>
      <c r="CC34">
        <f>6177.905</f>
        <v>6177.9049999999997</v>
      </c>
      <c r="CD34">
        <f>5813.333</f>
        <v>5813.3329999999996</v>
      </c>
      <c r="CE34">
        <f>5233.744</f>
        <v>5233.7439999999997</v>
      </c>
      <c r="CF34">
        <f>5168.182</f>
        <v>5168.1819999999998</v>
      </c>
      <c r="CG34">
        <f>5455.246</f>
        <v>5455.2460000000001</v>
      </c>
      <c r="CH34">
        <f>5853.057</f>
        <v>5853.0569999999998</v>
      </c>
      <c r="CI34">
        <f>5854.568</f>
        <v>5854.5680000000002</v>
      </c>
      <c r="CJ34">
        <f>5738.146</f>
        <v>5738.1459999999997</v>
      </c>
      <c r="CK34">
        <f>5724.644</f>
        <v>5724.6440000000002</v>
      </c>
      <c r="CL34">
        <f>5613.52</f>
        <v>5613.52</v>
      </c>
      <c r="CM34">
        <f>4764.283</f>
        <v>4764.2830000000004</v>
      </c>
      <c r="CN34">
        <f>4122.883</f>
        <v>4122.8829999999998</v>
      </c>
      <c r="CO34">
        <f>3391.952</f>
        <v>3391.9520000000002</v>
      </c>
      <c r="CP34">
        <f>3531.427</f>
        <v>3531.4270000000001</v>
      </c>
      <c r="CQ34">
        <f>3031.026</f>
        <v>3031.0259999999998</v>
      </c>
      <c r="CR34">
        <f>3171.117</f>
        <v>3171.1170000000002</v>
      </c>
      <c r="CS34">
        <f>50.224</f>
        <v>50.223999999999997</v>
      </c>
      <c r="CT34">
        <f>104.281</f>
        <v>104.28100000000001</v>
      </c>
      <c r="CU34">
        <f>161.145</f>
        <v>161.14500000000001</v>
      </c>
      <c r="CV34">
        <f>154.27</f>
        <v>154.27000000000001</v>
      </c>
      <c r="CW34">
        <f>152.249</f>
        <v>152.249</v>
      </c>
      <c r="CX34">
        <f>204.255</f>
        <v>204.255</v>
      </c>
      <c r="CY34">
        <f>162.327</f>
        <v>162.327</v>
      </c>
      <c r="CZ34">
        <f>165.142</f>
        <v>165.142</v>
      </c>
      <c r="DA34">
        <f>175.712</f>
        <v>175.71199999999999</v>
      </c>
      <c r="DB34">
        <f>173.784</f>
        <v>173.78399999999999</v>
      </c>
      <c r="DC34">
        <f>243.032</f>
        <v>243.03200000000001</v>
      </c>
      <c r="DD34">
        <f>245.047</f>
        <v>245.047</v>
      </c>
      <c r="DE34">
        <f>245.321</f>
        <v>245.321</v>
      </c>
      <c r="DF34">
        <f>280.738</f>
        <v>280.738</v>
      </c>
      <c r="DG34">
        <f>305.704</f>
        <v>305.70400000000001</v>
      </c>
      <c r="DH34">
        <f>315.091</f>
        <v>315.09100000000001</v>
      </c>
      <c r="DI34">
        <f>324.361</f>
        <v>324.36099999999999</v>
      </c>
      <c r="DJ34">
        <f>429.266</f>
        <v>429.26600000000002</v>
      </c>
      <c r="DK34">
        <f>378.514</f>
        <v>378.51400000000001</v>
      </c>
      <c r="DL34">
        <f>411.503</f>
        <v>411.50299999999999</v>
      </c>
      <c r="DM34">
        <f>572.738</f>
        <v>572.73800000000006</v>
      </c>
      <c r="DN34">
        <f>724.662</f>
        <v>724.66200000000003</v>
      </c>
      <c r="DO34">
        <f>499.065</f>
        <v>499.065</v>
      </c>
      <c r="DP34">
        <f>162.273</f>
        <v>162.273</v>
      </c>
      <c r="DQ34">
        <f>490.778</f>
        <v>490.77800000000002</v>
      </c>
      <c r="DR34">
        <f>652.956</f>
        <v>652.95600000000002</v>
      </c>
      <c r="DS34">
        <f>728.166</f>
        <v>728.16600000000005</v>
      </c>
      <c r="DT34">
        <f>931.935</f>
        <v>931.93499999999995</v>
      </c>
      <c r="DU34" t="str">
        <f>""</f>
        <v/>
      </c>
    </row>
    <row r="35" spans="1:125" x14ac:dyDescent="0.25">
      <c r="A35" t="str">
        <f>"                Huntington Bancshares Inc/OH"</f>
        <v xml:space="preserve">                Huntington Bancshares Inc/OH</v>
      </c>
      <c r="B35" t="str">
        <f>"HBAN US Equity"</f>
        <v>HBAN US Equity</v>
      </c>
      <c r="C35" t="str">
        <f t="shared" si="3"/>
        <v>FC471</v>
      </c>
      <c r="D35" t="str">
        <f t="shared" si="4"/>
        <v>FDIC_SECS_AVAIL_FOR_SALE_MKT_VAL</v>
      </c>
      <c r="E35" t="str">
        <f t="shared" si="5"/>
        <v>Dynamic</v>
      </c>
      <c r="F35">
        <f ca="1">IF(AND(ISNUMBER($F$176),$B$145=1),$F$176,HLOOKUP(INDIRECT(ADDRESS(2,COLUMN())),OFFSET($BN$2,0,0,ROW()-1,60),ROW()-1,FALSE))</f>
        <v>27272.758000000002</v>
      </c>
      <c r="G35">
        <f ca="1">IF(AND(ISNUMBER($G$176),$B$145=1),$G$176,HLOOKUP(INDIRECT(ADDRESS(2,COLUMN())),OFFSET($BN$2,0,0,ROW()-1,60),ROW()-1,FALSE))</f>
        <v>28491.954000000002</v>
      </c>
      <c r="H35">
        <f ca="1">IF(AND(ISNUMBER($H$176),$B$145=1),$H$176,HLOOKUP(INDIRECT(ADDRESS(2,COLUMN())),OFFSET($BN$2,0,0,ROW()-1,60),ROW()-1,FALSE))</f>
        <v>27454.237000000001</v>
      </c>
      <c r="I35">
        <f ca="1">IF(AND(ISNUMBER($I$176),$B$145=1),$I$176,HLOOKUP(INDIRECT(ADDRESS(2,COLUMN())),OFFSET($BN$2,0,0,ROW()-1,60),ROW()-1,FALSE))</f>
        <v>26800.598999999998</v>
      </c>
      <c r="J35">
        <f ca="1">IF(AND(ISNUMBER($J$176),$B$145=1),$J$176,HLOOKUP(INDIRECT(ADDRESS(2,COLUMN())),OFFSET($BN$2,0,0,ROW()-1,60),ROW()-1,FALSE))</f>
        <v>25305.156999999999</v>
      </c>
      <c r="K35">
        <f ca="1">IF(AND(ISNUMBER($K$176),$B$145=1),$K$176,HLOOKUP(INDIRECT(ADDRESS(2,COLUMN())),OFFSET($BN$2,0,0,ROW()-1,60),ROW()-1,FALSE))</f>
        <v>21863.071</v>
      </c>
      <c r="L35">
        <f ca="1">IF(AND(ISNUMBER($L$176),$B$145=1),$L$176,HLOOKUP(INDIRECT(ADDRESS(2,COLUMN())),OFFSET($BN$2,0,0,ROW()-1,60),ROW()-1,FALSE))</f>
        <v>23233.03</v>
      </c>
      <c r="M35">
        <f ca="1">IF(AND(ISNUMBER($M$176),$B$145=1),$M$176,HLOOKUP(INDIRECT(ADDRESS(2,COLUMN())),OFFSET($BN$2,0,0,ROW()-1,60),ROW()-1,FALSE))</f>
        <v>24085.623</v>
      </c>
      <c r="N35">
        <f ca="1">IF(AND(ISNUMBER($N$176),$B$145=1),$N$176,HLOOKUP(INDIRECT(ADDRESS(2,COLUMN())),OFFSET($BN$2,0,0,ROW()-1,60),ROW()-1,FALSE))</f>
        <v>23422.547999999999</v>
      </c>
      <c r="O35">
        <f ca="1">IF(AND(ISNUMBER($O$176),$B$145=1),$O$176,HLOOKUP(INDIRECT(ADDRESS(2,COLUMN())),OFFSET($BN$2,0,0,ROW()-1,60),ROW()-1,FALSE))</f>
        <v>23305.781999999999</v>
      </c>
      <c r="P35">
        <f ca="1">IF(AND(ISNUMBER($P$176),$B$145=1),$P$176,HLOOKUP(INDIRECT(ADDRESS(2,COLUMN())),OFFSET($BN$2,0,0,ROW()-1,60),ROW()-1,FALSE))</f>
        <v>24376.76</v>
      </c>
      <c r="Q35">
        <f ca="1">IF(AND(ISNUMBER($Q$176),$B$145=1),$Q$176,HLOOKUP(INDIRECT(ADDRESS(2,COLUMN())),OFFSET($BN$2,0,0,ROW()-1,60),ROW()-1,FALSE))</f>
        <v>25151.280999999999</v>
      </c>
      <c r="R35">
        <f ca="1">IF(AND(ISNUMBER($R$176),$B$145=1),$R$176,HLOOKUP(INDIRECT(ADDRESS(2,COLUMN())),OFFSET($BN$2,0,0,ROW()-1,60),ROW()-1,FALSE))</f>
        <v>28459.611000000001</v>
      </c>
      <c r="S35">
        <f ca="1">IF(AND(ISNUMBER($S$176),$B$145=1),$S$176,HLOOKUP(INDIRECT(ADDRESS(2,COLUMN())),OFFSET($BN$2,0,0,ROW()-1,60),ROW()-1,FALSE))</f>
        <v>25653.821</v>
      </c>
      <c r="T35">
        <f ca="1">IF(AND(ISNUMBER($T$176),$B$145=1),$T$176,HLOOKUP(INDIRECT(ADDRESS(2,COLUMN())),OFFSET($BN$2,0,0,ROW()-1,60),ROW()-1,FALSE))</f>
        <v>22915.057000000001</v>
      </c>
      <c r="U35">
        <f ca="1">IF(AND(ISNUMBER($U$176),$B$145=1),$U$176,HLOOKUP(INDIRECT(ADDRESS(2,COLUMN())),OFFSET($BN$2,0,0,ROW()-1,60),ROW()-1,FALSE))</f>
        <v>19374.739000000001</v>
      </c>
      <c r="V35">
        <f ca="1">IF(AND(ISNUMBER($V$176),$B$145=1),$V$176,HLOOKUP(INDIRECT(ADDRESS(2,COLUMN())),OFFSET($BN$2,0,0,ROW()-1,60),ROW()-1,FALSE))</f>
        <v>16485.358</v>
      </c>
      <c r="W35">
        <f ca="1">IF(AND(ISNUMBER($W$176),$B$145=1),$W$176,HLOOKUP(INDIRECT(ADDRESS(2,COLUMN())),OFFSET($BN$2,0,0,ROW()-1,60),ROW()-1,FALSE))</f>
        <v>14806.766</v>
      </c>
      <c r="X35">
        <f ca="1">IF(AND(ISNUMBER($X$176),$B$145=1),$X$176,HLOOKUP(INDIRECT(ADDRESS(2,COLUMN())),OFFSET($BN$2,0,0,ROW()-1,60),ROW()-1,FALSE))</f>
        <v>13297.412</v>
      </c>
      <c r="Y35">
        <f ca="1">IF(AND(ISNUMBER($Y$176),$B$145=1),$Y$176,HLOOKUP(INDIRECT(ADDRESS(2,COLUMN())),OFFSET($BN$2,0,0,ROW()-1,60),ROW()-1,FALSE))</f>
        <v>14622.112999999999</v>
      </c>
      <c r="Z35">
        <f ca="1">IF(AND(ISNUMBER($Z$176),$B$145=1),$Z$176,HLOOKUP(INDIRECT(ADDRESS(2,COLUMN())),OFFSET($BN$2,0,0,ROW()-1,60),ROW()-1,FALSE))</f>
        <v>14148.686</v>
      </c>
      <c r="AA35">
        <f ca="1">IF(AND(ISNUMBER($AA$176),$B$145=1),$AA$176,HLOOKUP(INDIRECT(ADDRESS(2,COLUMN())),OFFSET($BN$2,0,0,ROW()-1,60),ROW()-1,FALSE))</f>
        <v>14286.328</v>
      </c>
      <c r="AB35">
        <f ca="1">IF(AND(ISNUMBER($AB$176),$B$145=1),$AB$176,HLOOKUP(INDIRECT(ADDRESS(2,COLUMN())),OFFSET($BN$2,0,0,ROW()-1,60),ROW()-1,FALSE))</f>
        <v>13694.518</v>
      </c>
      <c r="AC35">
        <f ca="1">IF(AND(ISNUMBER($AC$176),$B$145=1),$AC$176,HLOOKUP(INDIRECT(ADDRESS(2,COLUMN())),OFFSET($BN$2,0,0,ROW()-1,60),ROW()-1,FALSE))</f>
        <v>13982.368</v>
      </c>
      <c r="AD35">
        <f ca="1">IF(AND(ISNUMBER($AD$176),$B$145=1),$AD$176,HLOOKUP(INDIRECT(ADDRESS(2,COLUMN())),OFFSET($BN$2,0,0,ROW()-1,60),ROW()-1,FALSE))</f>
        <v>13780.338</v>
      </c>
      <c r="AE35">
        <f ca="1">IF(AND(ISNUMBER($AE$176),$B$145=1),$AE$176,HLOOKUP(INDIRECT(ADDRESS(2,COLUMN())),OFFSET($BN$2,0,0,ROW()-1,60),ROW()-1,FALSE))</f>
        <v>13727.004999999999</v>
      </c>
      <c r="AF35">
        <f ca="1">IF(AND(ISNUMBER($AF$176),$B$145=1),$AF$176,HLOOKUP(INDIRECT(ADDRESS(2,COLUMN())),OFFSET($BN$2,0,0,ROW()-1,60),ROW()-1,FALSE))</f>
        <v>14070.288</v>
      </c>
      <c r="AG35">
        <f ca="1">IF(AND(ISNUMBER($AG$176),$B$145=1),$AG$176,HLOOKUP(INDIRECT(ADDRESS(2,COLUMN())),OFFSET($BN$2,0,0,ROW()-1,60),ROW()-1,FALSE))</f>
        <v>14607.128000000001</v>
      </c>
      <c r="AH35">
        <f ca="1">IF(AND(ISNUMBER($AH$176),$B$145=1),$AH$176,HLOOKUP(INDIRECT(ADDRESS(2,COLUMN())),OFFSET($BN$2,0,0,ROW()-1,60),ROW()-1,FALSE))</f>
        <v>14888.262000000001</v>
      </c>
      <c r="AI35">
        <f ca="1">IF(AND(ISNUMBER($AI$176),$B$145=1),$AI$176,HLOOKUP(INDIRECT(ADDRESS(2,COLUMN())),OFFSET($BN$2,0,0,ROW()-1,60),ROW()-1,FALSE))</f>
        <v>14870.041999999999</v>
      </c>
      <c r="AJ35">
        <f ca="1">IF(AND(ISNUMBER($AJ$176),$B$145=1),$AJ$176,HLOOKUP(INDIRECT(ADDRESS(2,COLUMN())),OFFSET($BN$2,0,0,ROW()-1,60),ROW()-1,FALSE))</f>
        <v>14802.834000000001</v>
      </c>
      <c r="AK35">
        <f ca="1">IF(AND(ISNUMBER($AK$176),$B$145=1),$AK$176,HLOOKUP(INDIRECT(ADDRESS(2,COLUMN())),OFFSET($BN$2,0,0,ROW()-1,60),ROW()-1,FALSE))</f>
        <v>15620.977000000001</v>
      </c>
      <c r="AL35">
        <f ca="1">IF(AND(ISNUMBER($AL$176),$B$145=1),$AL$176,HLOOKUP(INDIRECT(ADDRESS(2,COLUMN())),OFFSET($BN$2,0,0,ROW()-1,60),ROW()-1,FALSE))</f>
        <v>15015.133</v>
      </c>
      <c r="AM35">
        <f ca="1">IF(AND(ISNUMBER($AM$176),$B$145=1),$AM$176,HLOOKUP(INDIRECT(ADDRESS(2,COLUMN())),OFFSET($BN$2,0,0,ROW()-1,60),ROW()-1,FALSE))</f>
        <v>15978.294</v>
      </c>
      <c r="AN35">
        <f ca="1">IF(AND(ISNUMBER($AN$176),$B$145=1),$AN$176,HLOOKUP(INDIRECT(ADDRESS(2,COLUMN())),OFFSET($BN$2,0,0,ROW()-1,60),ROW()-1,FALSE))</f>
        <v>9319.2870000000003</v>
      </c>
      <c r="AO35">
        <f ca="1">IF(AND(ISNUMBER($AO$176),$B$145=1),$AO$176,HLOOKUP(INDIRECT(ADDRESS(2,COLUMN())),OFFSET($BN$2,0,0,ROW()-1,60),ROW()-1,FALSE))</f>
        <v>8985.9210000000003</v>
      </c>
      <c r="AP35">
        <f ca="1">IF(AND(ISNUMBER($AP$176),$B$145=1),$AP$176,HLOOKUP(INDIRECT(ADDRESS(2,COLUMN())),OFFSET($BN$2,0,0,ROW()-1,60),ROW()-1,FALSE))</f>
        <v>8442.6550000000007</v>
      </c>
      <c r="AQ35">
        <f ca="1">IF(AND(ISNUMBER($AQ$176),$B$145=1),$AQ$176,HLOOKUP(INDIRECT(ADDRESS(2,COLUMN())),OFFSET($BN$2,0,0,ROW()-1,60),ROW()-1,FALSE))</f>
        <v>10762.45</v>
      </c>
      <c r="AR35">
        <f ca="1">IF(AND(ISNUMBER($AR$176),$B$145=1),$AR$176,HLOOKUP(INDIRECT(ADDRESS(2,COLUMN())),OFFSET($BN$2,0,0,ROW()-1,60),ROW()-1,FALSE))</f>
        <v>9922.7759999999998</v>
      </c>
      <c r="AS35">
        <f ca="1">IF(AND(ISNUMBER($AS$176),$B$145=1),$AS$176,HLOOKUP(INDIRECT(ADDRESS(2,COLUMN())),OFFSET($BN$2,0,0,ROW()-1,60),ROW()-1,FALSE))</f>
        <v>9590.6280000000006</v>
      </c>
      <c r="AT35">
        <f ca="1">IF(AND(ISNUMBER($AT$176),$B$145=1),$AT$176,HLOOKUP(INDIRECT(ADDRESS(2,COLUMN())),OFFSET($BN$2,0,0,ROW()-1,60),ROW()-1,FALSE))</f>
        <v>9053.11</v>
      </c>
      <c r="AU35">
        <f ca="1">IF(AND(ISNUMBER($AU$176),$B$145=1),$AU$176,HLOOKUP(INDIRECT(ADDRESS(2,COLUMN())),OFFSET($BN$2,0,0,ROW()-1,60),ROW()-1,FALSE))</f>
        <v>8390.482</v>
      </c>
      <c r="AV35">
        <f ca="1">IF(AND(ISNUMBER($AV$176),$B$145=1),$AV$176,HLOOKUP(INDIRECT(ADDRESS(2,COLUMN())),OFFSET($BN$2,0,0,ROW()-1,60),ROW()-1,FALSE))</f>
        <v>8159.9769999999999</v>
      </c>
      <c r="AW35">
        <f ca="1">IF(AND(ISNUMBER($AW$176),$B$145=1),$AW$176,HLOOKUP(INDIRECT(ADDRESS(2,COLUMN())),OFFSET($BN$2,0,0,ROW()-1,60),ROW()-1,FALSE))</f>
        <v>7431.6379999999999</v>
      </c>
      <c r="AX35">
        <f ca="1">IF(AND(ISNUMBER($AX$176),$B$145=1),$AX$176,HLOOKUP(INDIRECT(ADDRESS(2,COLUMN())),OFFSET($BN$2,0,0,ROW()-1,60),ROW()-1,FALSE))</f>
        <v>6987.7619999999997</v>
      </c>
      <c r="AY35">
        <f ca="1">IF(AND(ISNUMBER($AY$176),$B$145=1),$AY$176,HLOOKUP(INDIRECT(ADDRESS(2,COLUMN())),OFFSET($BN$2,0,0,ROW()-1,60),ROW()-1,FALSE))</f>
        <v>6129.2190000000001</v>
      </c>
      <c r="AZ35">
        <f ca="1">IF(AND(ISNUMBER($AZ$176),$B$145=1),$AZ$176,HLOOKUP(INDIRECT(ADDRESS(2,COLUMN())),OFFSET($BN$2,0,0,ROW()-1,60),ROW()-1,FALSE))</f>
        <v>6499.4859999999999</v>
      </c>
      <c r="BA35">
        <f ca="1">IF(AND(ISNUMBER($BA$176),$B$145=1),$BA$176,HLOOKUP(INDIRECT(ADDRESS(2,COLUMN())),OFFSET($BN$2,0,0,ROW()-1,60),ROW()-1,FALSE))</f>
        <v>7192.9</v>
      </c>
      <c r="BB35">
        <f ca="1">IF(AND(ISNUMBER($BB$176),$B$145=1),$BB$176,HLOOKUP(INDIRECT(ADDRESS(2,COLUMN())),OFFSET($BN$2,0,0,ROW()-1,60),ROW()-1,FALSE))</f>
        <v>7258.1040000000003</v>
      </c>
      <c r="BC35">
        <f ca="1">IF(AND(ISNUMBER($BC$176),$B$145=1),$BC$176,HLOOKUP(INDIRECT(ADDRESS(2,COLUMN())),OFFSET($BN$2,0,0,ROW()-1,60),ROW()-1,FALSE))</f>
        <v>7477.1040000000003</v>
      </c>
      <c r="BD35">
        <f ca="1">IF(AND(ISNUMBER($BD$176),$B$145=1),$BD$176,HLOOKUP(INDIRECT(ADDRESS(2,COLUMN())),OFFSET($BN$2,0,0,ROW()-1,60),ROW()-1,FALSE))</f>
        <v>8370.7440000000006</v>
      </c>
      <c r="BE35">
        <f ca="1">IF(AND(ISNUMBER($BE$176),$B$145=1),$BE$176,HLOOKUP(INDIRECT(ADDRESS(2,COLUMN())),OFFSET($BN$2,0,0,ROW()-1,60),ROW()-1,FALSE))</f>
        <v>8618.43</v>
      </c>
      <c r="BF35">
        <f ca="1">IF(AND(ISNUMBER($BF$176),$B$145=1),$BF$176,HLOOKUP(INDIRECT(ADDRESS(2,COLUMN())),OFFSET($BN$2,0,0,ROW()-1,60),ROW()-1,FALSE))</f>
        <v>7791.4989999999998</v>
      </c>
      <c r="BG35">
        <f ca="1">IF(AND(ISNUMBER($BG$176),$B$145=1),$BG$176,HLOOKUP(INDIRECT(ADDRESS(2,COLUMN())),OFFSET($BN$2,0,0,ROW()-1,60),ROW()-1,FALSE))</f>
        <v>8403.25</v>
      </c>
      <c r="BH35">
        <f ca="1">IF(AND(ISNUMBER($BH$176),$B$145=1),$BH$176,HLOOKUP(INDIRECT(ADDRESS(2,COLUMN())),OFFSET($BN$2,0,0,ROW()-1,60),ROW()-1,FALSE))</f>
        <v>7796.0550000000003</v>
      </c>
      <c r="BI35">
        <f ca="1">IF(AND(ISNUMBER($BI$176),$B$145=1),$BI$176,HLOOKUP(INDIRECT(ADDRESS(2,COLUMN())),OFFSET($BN$2,0,0,ROW()-1,60),ROW()-1,FALSE))</f>
        <v>9013.9770000000008</v>
      </c>
      <c r="BJ35">
        <f ca="1">IF(AND(ISNUMBER($BJ$176),$B$145=1),$BJ$176,HLOOKUP(INDIRECT(ADDRESS(2,COLUMN())),OFFSET($BN$2,0,0,ROW()-1,60),ROW()-1,FALSE))</f>
        <v>9586.5220000000008</v>
      </c>
      <c r="BK35">
        <f ca="1">IF(AND(ISNUMBER($BK$176),$B$145=1),$BK$176,HLOOKUP(INDIRECT(ADDRESS(2,COLUMN())),OFFSET($BN$2,0,0,ROW()-1,60),ROW()-1,FALSE))</f>
        <v>9413.4159999999993</v>
      </c>
      <c r="BL35">
        <f ca="1">IF(AND(ISNUMBER($BL$176),$B$145=1),$BL$176,HLOOKUP(INDIRECT(ADDRESS(2,COLUMN())),OFFSET($BN$2,0,0,ROW()-1,60),ROW()-1,FALSE))</f>
        <v>8498.8040000000001</v>
      </c>
      <c r="BM35" t="str">
        <f ca="1">IF(AND(ISNUMBER($BM$176),$B$145=1),$BM$176,HLOOKUP(INDIRECT(ADDRESS(2,COLUMN())),OFFSET($BN$2,0,0,ROW()-1,60),ROW()-1,FALSE))</f>
        <v/>
      </c>
      <c r="BN35">
        <f>27272.758</f>
        <v>27272.758000000002</v>
      </c>
      <c r="BO35">
        <f>28491.954</f>
        <v>28491.954000000002</v>
      </c>
      <c r="BP35">
        <f>27454.237</f>
        <v>27454.237000000001</v>
      </c>
      <c r="BQ35">
        <f>26800.599</f>
        <v>26800.598999999998</v>
      </c>
      <c r="BR35">
        <f>25305.157</f>
        <v>25305.156999999999</v>
      </c>
      <c r="BS35">
        <f>21863.071</f>
        <v>21863.071</v>
      </c>
      <c r="BT35">
        <f>23233.03</f>
        <v>23233.03</v>
      </c>
      <c r="BU35">
        <f>24085.623</f>
        <v>24085.623</v>
      </c>
      <c r="BV35">
        <f>23422.548</f>
        <v>23422.547999999999</v>
      </c>
      <c r="BW35">
        <f>23305.782</f>
        <v>23305.781999999999</v>
      </c>
      <c r="BX35">
        <f>24376.76</f>
        <v>24376.76</v>
      </c>
      <c r="BY35">
        <f>25151.281</f>
        <v>25151.280999999999</v>
      </c>
      <c r="BZ35">
        <f>28459.611</f>
        <v>28459.611000000001</v>
      </c>
      <c r="CA35">
        <f>25653.821</f>
        <v>25653.821</v>
      </c>
      <c r="CB35">
        <f>22915.057</f>
        <v>22915.057000000001</v>
      </c>
      <c r="CC35">
        <f>19374.739</f>
        <v>19374.739000000001</v>
      </c>
      <c r="CD35">
        <f>16485.358</f>
        <v>16485.358</v>
      </c>
      <c r="CE35">
        <f>14806.766</f>
        <v>14806.766</v>
      </c>
      <c r="CF35">
        <f>13297.412</f>
        <v>13297.412</v>
      </c>
      <c r="CG35">
        <f>14622.113</f>
        <v>14622.112999999999</v>
      </c>
      <c r="CH35">
        <f>14148.686</f>
        <v>14148.686</v>
      </c>
      <c r="CI35">
        <f>14286.328</f>
        <v>14286.328</v>
      </c>
      <c r="CJ35">
        <f>13694.518</f>
        <v>13694.518</v>
      </c>
      <c r="CK35">
        <f>13982.368</f>
        <v>13982.368</v>
      </c>
      <c r="CL35">
        <f>13780.338</f>
        <v>13780.338</v>
      </c>
      <c r="CM35">
        <f>13727.005</f>
        <v>13727.004999999999</v>
      </c>
      <c r="CN35">
        <f>14070.288</f>
        <v>14070.288</v>
      </c>
      <c r="CO35">
        <f>14607.128</f>
        <v>14607.128000000001</v>
      </c>
      <c r="CP35">
        <f>14888.262</f>
        <v>14888.262000000001</v>
      </c>
      <c r="CQ35">
        <f>14870.042</f>
        <v>14870.041999999999</v>
      </c>
      <c r="CR35">
        <f>14802.834</f>
        <v>14802.834000000001</v>
      </c>
      <c r="CS35">
        <f>15620.977</f>
        <v>15620.977000000001</v>
      </c>
      <c r="CT35">
        <f>15015.133</f>
        <v>15015.133</v>
      </c>
      <c r="CU35">
        <f>15978.294</f>
        <v>15978.294</v>
      </c>
      <c r="CV35">
        <f>9319.287</f>
        <v>9319.2870000000003</v>
      </c>
      <c r="CW35">
        <f>8985.921</f>
        <v>8985.9210000000003</v>
      </c>
      <c r="CX35">
        <f>8442.655</f>
        <v>8442.6550000000007</v>
      </c>
      <c r="CY35">
        <f>10762.45</f>
        <v>10762.45</v>
      </c>
      <c r="CZ35">
        <f>9922.776</f>
        <v>9922.7759999999998</v>
      </c>
      <c r="DA35">
        <f>9590.628</f>
        <v>9590.6280000000006</v>
      </c>
      <c r="DB35">
        <f>9053.11</f>
        <v>9053.11</v>
      </c>
      <c r="DC35">
        <f>8390.482</f>
        <v>8390.482</v>
      </c>
      <c r="DD35">
        <f>8159.977</f>
        <v>8159.9769999999999</v>
      </c>
      <c r="DE35">
        <f>7431.638</f>
        <v>7431.6379999999999</v>
      </c>
      <c r="DF35">
        <f>6987.762</f>
        <v>6987.7619999999997</v>
      </c>
      <c r="DG35">
        <f>6129.219</f>
        <v>6129.2190000000001</v>
      </c>
      <c r="DH35">
        <f>6499.486</f>
        <v>6499.4859999999999</v>
      </c>
      <c r="DI35">
        <f>7192.9</f>
        <v>7192.9</v>
      </c>
      <c r="DJ35">
        <f>7258.104</f>
        <v>7258.1040000000003</v>
      </c>
      <c r="DK35">
        <f>7477.104</f>
        <v>7477.1040000000003</v>
      </c>
      <c r="DL35">
        <f>8370.744</f>
        <v>8370.7440000000006</v>
      </c>
      <c r="DM35">
        <f>8618.43</f>
        <v>8618.43</v>
      </c>
      <c r="DN35">
        <f>7791.499</f>
        <v>7791.4989999999998</v>
      </c>
      <c r="DO35">
        <f>8403.25</f>
        <v>8403.25</v>
      </c>
      <c r="DP35">
        <f>7796.055</f>
        <v>7796.0550000000003</v>
      </c>
      <c r="DQ35">
        <f>9013.977</f>
        <v>9013.9770000000008</v>
      </c>
      <c r="DR35">
        <f>9586.522</f>
        <v>9586.5220000000008</v>
      </c>
      <c r="DS35">
        <f>9413.416</f>
        <v>9413.4159999999993</v>
      </c>
      <c r="DT35">
        <f>8498.804</f>
        <v>8498.8040000000001</v>
      </c>
      <c r="DU35" t="str">
        <f>""</f>
        <v/>
      </c>
    </row>
    <row r="36" spans="1:125" x14ac:dyDescent="0.25">
      <c r="A36" t="str">
        <f>"                JPMorgan Chase &amp; Co"</f>
        <v xml:space="preserve">                JPMorgan Chase &amp; Co</v>
      </c>
      <c r="B36" t="str">
        <f>"JPM US Equity"</f>
        <v>JPM US Equity</v>
      </c>
      <c r="C36" t="str">
        <f t="shared" si="3"/>
        <v>FC471</v>
      </c>
      <c r="D36" t="str">
        <f t="shared" si="4"/>
        <v>FDIC_SECS_AVAIL_FOR_SALE_MKT_VAL</v>
      </c>
      <c r="E36" t="str">
        <f t="shared" si="5"/>
        <v>Dynamic</v>
      </c>
      <c r="F36">
        <f ca="1">IF(AND(ISNUMBER($F$177),$B$145=1),$F$177,HLOOKUP(INDIRECT(ADDRESS(2,COLUMN())),OFFSET($BN$2,0,0,ROW()-1,60),ROW()-1,FALSE))</f>
        <v>406852</v>
      </c>
      <c r="G36">
        <f ca="1">IF(AND(ISNUMBER($G$177),$B$145=1),$G$177,HLOOKUP(INDIRECT(ADDRESS(2,COLUMN())),OFFSET($BN$2,0,0,ROW()-1,60),ROW()-1,FALSE))</f>
        <v>334548</v>
      </c>
      <c r="H36">
        <f ca="1">IF(AND(ISNUMBER($H$177),$B$145=1),$H$177,HLOOKUP(INDIRECT(ADDRESS(2,COLUMN())),OFFSET($BN$2,0,0,ROW()-1,60),ROW()-1,FALSE))</f>
        <v>266252</v>
      </c>
      <c r="I36">
        <f ca="1">IF(AND(ISNUMBER($I$177),$B$145=1),$I$177,HLOOKUP(INDIRECT(ADDRESS(2,COLUMN())),OFFSET($BN$2,0,0,ROW()-1,60),ROW()-1,FALSE))</f>
        <v>236152</v>
      </c>
      <c r="J36">
        <f ca="1">IF(AND(ISNUMBER($J$177),$B$145=1),$J$177,HLOOKUP(INDIRECT(ADDRESS(2,COLUMN())),OFFSET($BN$2,0,0,ROW()-1,60),ROW()-1,FALSE))</f>
        <v>201704</v>
      </c>
      <c r="K36">
        <f ca="1">IF(AND(ISNUMBER($K$177),$B$145=1),$K$177,HLOOKUP(INDIRECT(ADDRESS(2,COLUMN())),OFFSET($BN$2,0,0,ROW()-1,60),ROW()-1,FALSE))</f>
        <v>197119</v>
      </c>
      <c r="L36">
        <f ca="1">IF(AND(ISNUMBER($L$177),$B$145=1),$L$177,HLOOKUP(INDIRECT(ADDRESS(2,COLUMN())),OFFSET($BN$2,0,0,ROW()-1,60),ROW()-1,FALSE))</f>
        <v>203262</v>
      </c>
      <c r="M36">
        <f ca="1">IF(AND(ISNUMBER($M$177),$B$145=1),$M$177,HLOOKUP(INDIRECT(ADDRESS(2,COLUMN())),OFFSET($BN$2,0,0,ROW()-1,60),ROW()-1,FALSE))</f>
        <v>197248</v>
      </c>
      <c r="N36">
        <f ca="1">IF(AND(ISNUMBER($N$177),$B$145=1),$N$177,HLOOKUP(INDIRECT(ADDRESS(2,COLUMN())),OFFSET($BN$2,0,0,ROW()-1,60),ROW()-1,FALSE))</f>
        <v>205857</v>
      </c>
      <c r="O36">
        <f ca="1">IF(AND(ISNUMBER($O$177),$B$145=1),$O$177,HLOOKUP(INDIRECT(ADDRESS(2,COLUMN())),OFFSET($BN$2,0,0,ROW()-1,60),ROW()-1,FALSE))</f>
        <v>188140</v>
      </c>
      <c r="P36">
        <f ca="1">IF(AND(ISNUMBER($P$177),$B$145=1),$P$177,HLOOKUP(INDIRECT(ADDRESS(2,COLUMN())),OFFSET($BN$2,0,0,ROW()-1,60),ROW()-1,FALSE))</f>
        <v>222069</v>
      </c>
      <c r="Q36">
        <f ca="1">IF(AND(ISNUMBER($Q$177),$B$145=1),$Q$177,HLOOKUP(INDIRECT(ADDRESS(2,COLUMN())),OFFSET($BN$2,0,0,ROW()-1,60),ROW()-1,FALSE))</f>
        <v>312875</v>
      </c>
      <c r="R36">
        <f ca="1">IF(AND(ISNUMBER($R$177),$B$145=1),$R$177,HLOOKUP(INDIRECT(ADDRESS(2,COLUMN())),OFFSET($BN$2,0,0,ROW()-1,60),ROW()-1,FALSE))</f>
        <v>308525</v>
      </c>
      <c r="S36">
        <f ca="1">IF(AND(ISNUMBER($S$177),$B$145=1),$S$177,HLOOKUP(INDIRECT(ADDRESS(2,COLUMN())),OFFSET($BN$2,0,0,ROW()-1,60),ROW()-1,FALSE))</f>
        <v>251590</v>
      </c>
      <c r="T36">
        <f ca="1">IF(AND(ISNUMBER($T$177),$B$145=1),$T$177,HLOOKUP(INDIRECT(ADDRESS(2,COLUMN())),OFFSET($BN$2,0,0,ROW()-1,60),ROW()-1,FALSE))</f>
        <v>232161</v>
      </c>
      <c r="U36">
        <f ca="1">IF(AND(ISNUMBER($U$177),$B$145=1),$U$177,HLOOKUP(INDIRECT(ADDRESS(2,COLUMN())),OFFSET($BN$2,0,0,ROW()-1,60),ROW()-1,FALSE))</f>
        <v>379942</v>
      </c>
      <c r="V36">
        <f ca="1">IF(AND(ISNUMBER($V$177),$B$145=1),$V$177,HLOOKUP(INDIRECT(ADDRESS(2,COLUMN())),OFFSET($BN$2,0,0,ROW()-1,60),ROW()-1,FALSE))</f>
        <v>388178</v>
      </c>
      <c r="W36">
        <f ca="1">IF(AND(ISNUMBER($W$177),$B$145=1),$W$177,HLOOKUP(INDIRECT(ADDRESS(2,COLUMN())),OFFSET($BN$2,0,0,ROW()-1,60),ROW()-1,FALSE))</f>
        <v>389583</v>
      </c>
      <c r="X36">
        <f ca="1">IF(AND(ISNUMBER($X$177),$B$145=1),$X$177,HLOOKUP(INDIRECT(ADDRESS(2,COLUMN())),OFFSET($BN$2,0,0,ROW()-1,60),ROW()-1,FALSE))</f>
        <v>485883</v>
      </c>
      <c r="Y36">
        <f ca="1">IF(AND(ISNUMBER($Y$177),$B$145=1),$Y$177,HLOOKUP(INDIRECT(ADDRESS(2,COLUMN())),OFFSET($BN$2,0,0,ROW()-1,60),ROW()-1,FALSE))</f>
        <v>399868</v>
      </c>
      <c r="Z36">
        <f ca="1">IF(AND(ISNUMBER($Z$177),$B$145=1),$Z$177,HLOOKUP(INDIRECT(ADDRESS(2,COLUMN())),OFFSET($BN$2,0,0,ROW()-1,60),ROW()-1,FALSE))</f>
        <v>350622</v>
      </c>
      <c r="AA36">
        <f ca="1">IF(AND(ISNUMBER($AA$177),$B$145=1),$AA$177,HLOOKUP(INDIRECT(ADDRESS(2,COLUMN())),OFFSET($BN$2,0,0,ROW()-1,60),ROW()-1,FALSE))</f>
        <v>353347</v>
      </c>
      <c r="AB36">
        <f ca="1">IF(AND(ISNUMBER($AB$177),$B$145=1),$AB$177,HLOOKUP(INDIRECT(ADDRESS(2,COLUMN())),OFFSET($BN$2,0,0,ROW()-1,60),ROW()-1,FALSE))</f>
        <v>276283</v>
      </c>
      <c r="AC36">
        <f ca="1">IF(AND(ISNUMBER($AC$177),$B$145=1),$AC$177,HLOOKUP(INDIRECT(ADDRESS(2,COLUMN())),OFFSET($BN$2,0,0,ROW()-1,60),ROW()-1,FALSE))</f>
        <v>236441</v>
      </c>
      <c r="AD36">
        <f ca="1">IF(AND(ISNUMBER($AD$177),$B$145=1),$AD$177,HLOOKUP(INDIRECT(ADDRESS(2,COLUMN())),OFFSET($BN$2,0,0,ROW()-1,60),ROW()-1,FALSE))</f>
        <v>230319</v>
      </c>
      <c r="AE36">
        <f ca="1">IF(AND(ISNUMBER($AE$177),$B$145=1),$AE$177,HLOOKUP(INDIRECT(ADDRESS(2,COLUMN())),OFFSET($BN$2,0,0,ROW()-1,60),ROW()-1,FALSE))</f>
        <v>199955</v>
      </c>
      <c r="AF36">
        <f ca="1">IF(AND(ISNUMBER($AF$177),$B$145=1),$AF$177,HLOOKUP(INDIRECT(ADDRESS(2,COLUMN())),OFFSET($BN$2,0,0,ROW()-1,60),ROW()-1,FALSE))</f>
        <v>201934</v>
      </c>
      <c r="AG36">
        <f ca="1">IF(AND(ISNUMBER($AG$177),$B$145=1),$AG$177,HLOOKUP(INDIRECT(ADDRESS(2,COLUMN())),OFFSET($BN$2,0,0,ROW()-1,60),ROW()-1,FALSE))</f>
        <v>209086</v>
      </c>
      <c r="AH36">
        <f ca="1">IF(AND(ISNUMBER($AH$177),$B$145=1),$AH$177,HLOOKUP(INDIRECT(ADDRESS(2,COLUMN())),OFFSET($BN$2,0,0,ROW()-1,60),ROW()-1,FALSE))</f>
        <v>202166</v>
      </c>
      <c r="AI36">
        <f ca="1">IF(AND(ISNUMBER($AI$177),$B$145=1),$AI$177,HLOOKUP(INDIRECT(ADDRESS(2,COLUMN())),OFFSET($BN$2,0,0,ROW()-1,60),ROW()-1,FALSE))</f>
        <v>216151</v>
      </c>
      <c r="AJ36">
        <f ca="1">IF(AND(ISNUMBER($AJ$177),$B$145=1),$AJ$177,HLOOKUP(INDIRECT(ADDRESS(2,COLUMN())),OFFSET($BN$2,0,0,ROW()-1,60),ROW()-1,FALSE))</f>
        <v>215640</v>
      </c>
      <c r="AK36">
        <f ca="1">IF(AND(ISNUMBER($AK$177),$B$145=1),$AK$177,HLOOKUP(INDIRECT(ADDRESS(2,COLUMN())),OFFSET($BN$2,0,0,ROW()-1,60),ROW()-1,FALSE))</f>
        <v>232879</v>
      </c>
      <c r="AL36">
        <f ca="1">IF(AND(ISNUMBER($AL$177),$B$145=1),$AL$177,HLOOKUP(INDIRECT(ADDRESS(2,COLUMN())),OFFSET($BN$2,0,0,ROW()-1,60),ROW()-1,FALSE))</f>
        <v>238785</v>
      </c>
      <c r="AM36">
        <f ca="1">IF(AND(ISNUMBER($AM$177),$B$145=1),$AM$177,HLOOKUP(INDIRECT(ADDRESS(2,COLUMN())),OFFSET($BN$2,0,0,ROW()-1,60),ROW()-1,FALSE))</f>
        <v>220282</v>
      </c>
      <c r="AN36">
        <f ca="1">IF(AND(ISNUMBER($AN$177),$B$145=1),$AN$177,HLOOKUP(INDIRECT(ADDRESS(2,COLUMN())),OFFSET($BN$2,0,0,ROW()-1,60),ROW()-1,FALSE))</f>
        <v>224693</v>
      </c>
      <c r="AO36">
        <f ca="1">IF(AND(ISNUMBER($AO$177),$B$145=1),$AO$177,HLOOKUP(INDIRECT(ADDRESS(2,COLUMN())),OFFSET($BN$2,0,0,ROW()-1,60),ROW()-1,FALSE))</f>
        <v>237338</v>
      </c>
      <c r="AP36">
        <f ca="1">IF(AND(ISNUMBER($AP$177),$B$145=1),$AP$177,HLOOKUP(INDIRECT(ADDRESS(2,COLUMN())),OFFSET($BN$2,0,0,ROW()-1,60),ROW()-1,FALSE))</f>
        <v>241471</v>
      </c>
      <c r="AQ36">
        <f ca="1">IF(AND(ISNUMBER($AQ$177),$B$145=1),$AQ$177,HLOOKUP(INDIRECT(ADDRESS(2,COLUMN())),OFFSET($BN$2,0,0,ROW()-1,60),ROW()-1,FALSE))</f>
        <v>256073</v>
      </c>
      <c r="AR36">
        <f ca="1">IF(AND(ISNUMBER($AR$177),$B$145=1),$AR$177,HLOOKUP(INDIRECT(ADDRESS(2,COLUMN())),OFFSET($BN$2,0,0,ROW()-1,60),ROW()-1,FALSE))</f>
        <v>265772</v>
      </c>
      <c r="AS36">
        <f ca="1">IF(AND(ISNUMBER($AS$177),$B$145=1),$AS$177,HLOOKUP(INDIRECT(ADDRESS(2,COLUMN())),OFFSET($BN$2,0,0,ROW()-1,60),ROW()-1,FALSE))</f>
        <v>280849</v>
      </c>
      <c r="AT36">
        <f ca="1">IF(AND(ISNUMBER($AT$177),$B$145=1),$AT$177,HLOOKUP(INDIRECT(ADDRESS(2,COLUMN())),OFFSET($BN$2,0,0,ROW()-1,60),ROW()-1,FALSE))</f>
        <v>297649</v>
      </c>
      <c r="AU36">
        <f ca="1">IF(AND(ISNUMBER($AU$177),$B$145=1),$AU$177,HLOOKUP(INDIRECT(ADDRESS(2,COLUMN())),OFFSET($BN$2,0,0,ROW()-1,60),ROW()-1,FALSE))</f>
        <v>316224</v>
      </c>
      <c r="AV36">
        <f ca="1">IF(AND(ISNUMBER($AV$177),$B$145=1),$AV$177,HLOOKUP(INDIRECT(ADDRESS(2,COLUMN())),OFFSET($BN$2,0,0,ROW()-1,60),ROW()-1,FALSE))</f>
        <v>312659</v>
      </c>
      <c r="AW36">
        <f ca="1">IF(AND(ISNUMBER($AW$177),$B$145=1),$AW$177,HLOOKUP(INDIRECT(ADDRESS(2,COLUMN())),OFFSET($BN$2,0,0,ROW()-1,60),ROW()-1,FALSE))</f>
        <v>303068</v>
      </c>
      <c r="AX36">
        <f ca="1">IF(AND(ISNUMBER($AX$177),$B$145=1),$AX$177,HLOOKUP(INDIRECT(ADDRESS(2,COLUMN())),OFFSET($BN$2,0,0,ROW()-1,60),ROW()-1,FALSE))</f>
        <v>328936</v>
      </c>
      <c r="AY36">
        <f ca="1">IF(AND(ISNUMBER($AY$177),$B$145=1),$AY$177,HLOOKUP(INDIRECT(ADDRESS(2,COLUMN())),OFFSET($BN$2,0,0,ROW()-1,60),ROW()-1,FALSE))</f>
        <v>351093</v>
      </c>
      <c r="AZ36">
        <f ca="1">IF(AND(ISNUMBER($AZ$177),$B$145=1),$AZ$177,HLOOKUP(INDIRECT(ADDRESS(2,COLUMN())),OFFSET($BN$2,0,0,ROW()-1,60),ROW()-1,FALSE))</f>
        <v>353131</v>
      </c>
      <c r="BA36">
        <f ca="1">IF(AND(ISNUMBER($BA$177),$B$145=1),$BA$177,HLOOKUP(INDIRECT(ADDRESS(2,COLUMN())),OFFSET($BN$2,0,0,ROW()-1,60),ROW()-1,FALSE))</f>
        <v>363358</v>
      </c>
      <c r="BB36">
        <f ca="1">IF(AND(ISNUMBER($BB$177),$B$145=1),$BB$177,HLOOKUP(INDIRECT(ADDRESS(2,COLUMN())),OFFSET($BN$2,0,0,ROW()-1,60),ROW()-1,FALSE))</f>
        <v>368362</v>
      </c>
      <c r="BC36">
        <f ca="1">IF(AND(ISNUMBER($BC$177),$B$145=1),$BC$177,HLOOKUP(INDIRECT(ADDRESS(2,COLUMN())),OFFSET($BN$2,0,0,ROW()-1,60),ROW()-1,FALSE))</f>
        <v>362358</v>
      </c>
      <c r="BD36">
        <f ca="1">IF(AND(ISNUMBER($BD$177),$B$145=1),$BD$177,HLOOKUP(INDIRECT(ADDRESS(2,COLUMN())),OFFSET($BN$2,0,0,ROW()-1,60),ROW()-1,FALSE))</f>
        <v>351592</v>
      </c>
      <c r="BE36">
        <f ca="1">IF(AND(ISNUMBER($BE$177),$B$145=1),$BE$177,HLOOKUP(INDIRECT(ADDRESS(2,COLUMN())),OFFSET($BN$2,0,0,ROW()-1,60),ROW()-1,FALSE))</f>
        <v>378687</v>
      </c>
      <c r="BF36">
        <f ca="1">IF(AND(ISNUMBER($BF$177),$B$145=1),$BF$177,HLOOKUP(INDIRECT(ADDRESS(2,COLUMN())),OFFSET($BN$2,0,0,ROW()-1,60),ROW()-1,FALSE))</f>
        <v>361764</v>
      </c>
      <c r="BG36">
        <f ca="1">IF(AND(ISNUMBER($BG$177),$B$145=1),$BG$177,HLOOKUP(INDIRECT(ADDRESS(2,COLUMN())),OFFSET($BN$2,0,0,ROW()-1,60),ROW()-1,FALSE))</f>
        <v>334363</v>
      </c>
      <c r="BH36">
        <f ca="1">IF(AND(ISNUMBER($BH$177),$B$145=1),$BH$177,HLOOKUP(INDIRECT(ADDRESS(2,COLUMN())),OFFSET($BN$2,0,0,ROW()-1,60),ROW()-1,FALSE))</f>
        <v>319865</v>
      </c>
      <c r="BI36">
        <f ca="1">IF(AND(ISNUMBER($BI$177),$B$145=1),$BI$177,HLOOKUP(INDIRECT(ADDRESS(2,COLUMN())),OFFSET($BN$2,0,0,ROW()-1,60),ROW()-1,FALSE))</f>
        <v>331295</v>
      </c>
      <c r="BJ36">
        <f ca="1">IF(AND(ISNUMBER($BJ$177),$B$145=1),$BJ$177,HLOOKUP(INDIRECT(ADDRESS(2,COLUMN())),OFFSET($BN$2,0,0,ROW()-1,60),ROW()-1,FALSE))</f>
        <v>312671</v>
      </c>
      <c r="BK36">
        <f ca="1">IF(AND(ISNUMBER($BK$177),$B$145=1),$BK$177,HLOOKUP(INDIRECT(ADDRESS(2,COLUMN())),OFFSET($BN$2,0,0,ROW()-1,60),ROW()-1,FALSE))</f>
        <v>337277</v>
      </c>
      <c r="BL36">
        <f ca="1">IF(AND(ISNUMBER($BL$177),$B$145=1),$BL$177,HLOOKUP(INDIRECT(ADDRESS(2,COLUMN())),OFFSET($BN$2,0,0,ROW()-1,60),ROW()-1,FALSE))</f>
        <v>309754</v>
      </c>
      <c r="BM36" t="str">
        <f ca="1">IF(AND(ISNUMBER($BM$177),$B$145=1),$BM$177,HLOOKUP(INDIRECT(ADDRESS(2,COLUMN())),OFFSET($BN$2,0,0,ROW()-1,60),ROW()-1,FALSE))</f>
        <v/>
      </c>
      <c r="BN36">
        <f>406852</f>
        <v>406852</v>
      </c>
      <c r="BO36">
        <f>334548</f>
        <v>334548</v>
      </c>
      <c r="BP36">
        <f>266252</f>
        <v>266252</v>
      </c>
      <c r="BQ36">
        <f>236152</f>
        <v>236152</v>
      </c>
      <c r="BR36">
        <f>201704</f>
        <v>201704</v>
      </c>
      <c r="BS36">
        <f>197119</f>
        <v>197119</v>
      </c>
      <c r="BT36">
        <f>203262</f>
        <v>203262</v>
      </c>
      <c r="BU36">
        <f>197248</f>
        <v>197248</v>
      </c>
      <c r="BV36">
        <f>205857</f>
        <v>205857</v>
      </c>
      <c r="BW36">
        <f>188140</f>
        <v>188140</v>
      </c>
      <c r="BX36">
        <f>222069</f>
        <v>222069</v>
      </c>
      <c r="BY36">
        <f>312875</f>
        <v>312875</v>
      </c>
      <c r="BZ36">
        <f>308525</f>
        <v>308525</v>
      </c>
      <c r="CA36">
        <f>251590</f>
        <v>251590</v>
      </c>
      <c r="CB36">
        <f>232161</f>
        <v>232161</v>
      </c>
      <c r="CC36">
        <f>379942</f>
        <v>379942</v>
      </c>
      <c r="CD36">
        <f>388178</f>
        <v>388178</v>
      </c>
      <c r="CE36">
        <f>389583</f>
        <v>389583</v>
      </c>
      <c r="CF36">
        <f>485883</f>
        <v>485883</v>
      </c>
      <c r="CG36">
        <f>399868</f>
        <v>399868</v>
      </c>
      <c r="CH36">
        <f>350622</f>
        <v>350622</v>
      </c>
      <c r="CI36">
        <f>353347</f>
        <v>353347</v>
      </c>
      <c r="CJ36">
        <f>276283</f>
        <v>276283</v>
      </c>
      <c r="CK36">
        <f>236441</f>
        <v>236441</v>
      </c>
      <c r="CL36">
        <f>230319</f>
        <v>230319</v>
      </c>
      <c r="CM36">
        <f>199955</f>
        <v>199955</v>
      </c>
      <c r="CN36">
        <f>201934</f>
        <v>201934</v>
      </c>
      <c r="CO36">
        <f>209086</f>
        <v>209086</v>
      </c>
      <c r="CP36">
        <f>202166</f>
        <v>202166</v>
      </c>
      <c r="CQ36">
        <f>216151</f>
        <v>216151</v>
      </c>
      <c r="CR36">
        <f>215640</f>
        <v>215640</v>
      </c>
      <c r="CS36">
        <f>232879</f>
        <v>232879</v>
      </c>
      <c r="CT36">
        <f>238785</f>
        <v>238785</v>
      </c>
      <c r="CU36">
        <f>220282</f>
        <v>220282</v>
      </c>
      <c r="CV36">
        <f>224693</f>
        <v>224693</v>
      </c>
      <c r="CW36">
        <f>237338</f>
        <v>237338</v>
      </c>
      <c r="CX36">
        <f>241471</f>
        <v>241471</v>
      </c>
      <c r="CY36">
        <f>256073</f>
        <v>256073</v>
      </c>
      <c r="CZ36">
        <f>265772</f>
        <v>265772</v>
      </c>
      <c r="DA36">
        <f>280849</f>
        <v>280849</v>
      </c>
      <c r="DB36">
        <f>297649</f>
        <v>297649</v>
      </c>
      <c r="DC36">
        <f>316224</f>
        <v>316224</v>
      </c>
      <c r="DD36">
        <f>312659</f>
        <v>312659</v>
      </c>
      <c r="DE36">
        <f>303068</f>
        <v>303068</v>
      </c>
      <c r="DF36">
        <f>328936</f>
        <v>328936</v>
      </c>
      <c r="DG36">
        <f>351093</f>
        <v>351093</v>
      </c>
      <c r="DH36">
        <f>353131</f>
        <v>353131</v>
      </c>
      <c r="DI36">
        <f>363358</f>
        <v>363358</v>
      </c>
      <c r="DJ36">
        <f>368362</f>
        <v>368362</v>
      </c>
      <c r="DK36">
        <f>362358</f>
        <v>362358</v>
      </c>
      <c r="DL36">
        <f>351592</f>
        <v>351592</v>
      </c>
      <c r="DM36">
        <f>378687</f>
        <v>378687</v>
      </c>
      <c r="DN36">
        <f>361764</f>
        <v>361764</v>
      </c>
      <c r="DO36">
        <f>334363</f>
        <v>334363</v>
      </c>
      <c r="DP36">
        <f>319865</f>
        <v>319865</v>
      </c>
      <c r="DQ36">
        <f>331295</f>
        <v>331295</v>
      </c>
      <c r="DR36">
        <f>312671</f>
        <v>312671</v>
      </c>
      <c r="DS36">
        <f>337277</f>
        <v>337277</v>
      </c>
      <c r="DT36">
        <f>309754</f>
        <v>309754</v>
      </c>
      <c r="DU36" t="str">
        <f>""</f>
        <v/>
      </c>
    </row>
    <row r="37" spans="1:125" x14ac:dyDescent="0.25">
      <c r="A37" t="str">
        <f>"                KeyCorp"</f>
        <v xml:space="preserve">                KeyCorp</v>
      </c>
      <c r="B37" t="str">
        <f>"KEY US Equity"</f>
        <v>KEY US Equity</v>
      </c>
      <c r="C37" t="str">
        <f t="shared" si="3"/>
        <v>FC471</v>
      </c>
      <c r="D37" t="str">
        <f t="shared" si="4"/>
        <v>FDIC_SECS_AVAIL_FOR_SALE_MKT_VAL</v>
      </c>
      <c r="E37" t="str">
        <f t="shared" si="5"/>
        <v>Dynamic</v>
      </c>
      <c r="F37">
        <f ca="1">IF(AND(ISNUMBER($F$178),$B$145=1),$F$178,HLOOKUP(INDIRECT(ADDRESS(2,COLUMN())),OFFSET($BN$2,0,0,ROW()-1,60),ROW()-1,FALSE))</f>
        <v>37706.589999999997</v>
      </c>
      <c r="G37">
        <f ca="1">IF(AND(ISNUMBER($G$178),$B$145=1),$G$178,HLOOKUP(INDIRECT(ADDRESS(2,COLUMN())),OFFSET($BN$2,0,0,ROW()-1,60),ROW()-1,FALSE))</f>
        <v>34169.269</v>
      </c>
      <c r="H37">
        <f ca="1">IF(AND(ISNUMBER($H$178),$B$145=1),$H$178,HLOOKUP(INDIRECT(ADDRESS(2,COLUMN())),OFFSET($BN$2,0,0,ROW()-1,60),ROW()-1,FALSE))</f>
        <v>37459.909</v>
      </c>
      <c r="I37">
        <f ca="1">IF(AND(ISNUMBER($I$178),$B$145=1),$I$178,HLOOKUP(INDIRECT(ADDRESS(2,COLUMN())),OFFSET($BN$2,0,0,ROW()-1,60),ROW()-1,FALSE))</f>
        <v>37297.712</v>
      </c>
      <c r="J37">
        <f ca="1">IF(AND(ISNUMBER($J$178),$B$145=1),$J$178,HLOOKUP(INDIRECT(ADDRESS(2,COLUMN())),OFFSET($BN$2,0,0,ROW()-1,60),ROW()-1,FALSE))</f>
        <v>37185.498</v>
      </c>
      <c r="K37">
        <f ca="1">IF(AND(ISNUMBER($K$178),$B$145=1),$K$178,HLOOKUP(INDIRECT(ADDRESS(2,COLUMN())),OFFSET($BN$2,0,0,ROW()-1,60),ROW()-1,FALSE))</f>
        <v>35839.08</v>
      </c>
      <c r="L37">
        <f ca="1">IF(AND(ISNUMBER($L$178),$B$145=1),$L$178,HLOOKUP(INDIRECT(ADDRESS(2,COLUMN())),OFFSET($BN$2,0,0,ROW()-1,60),ROW()-1,FALSE))</f>
        <v>37907.576999999997</v>
      </c>
      <c r="M37">
        <f ca="1">IF(AND(ISNUMBER($M$178),$B$145=1),$M$178,HLOOKUP(INDIRECT(ADDRESS(2,COLUMN())),OFFSET($BN$2,0,0,ROW()-1,60),ROW()-1,FALSE))</f>
        <v>39497.699999999997</v>
      </c>
      <c r="N37">
        <f ca="1">IF(AND(ISNUMBER($N$178),$B$145=1),$N$178,HLOOKUP(INDIRECT(ADDRESS(2,COLUMN())),OFFSET($BN$2,0,0,ROW()-1,60),ROW()-1,FALSE))</f>
        <v>39116.716</v>
      </c>
      <c r="O37">
        <f ca="1">IF(AND(ISNUMBER($O$178),$B$145=1),$O$178,HLOOKUP(INDIRECT(ADDRESS(2,COLUMN())),OFFSET($BN$2,0,0,ROW()-1,60),ROW()-1,FALSE))</f>
        <v>39999.857000000004</v>
      </c>
      <c r="P37">
        <f ca="1">IF(AND(ISNUMBER($P$178),$B$145=1),$P$178,HLOOKUP(INDIRECT(ADDRESS(2,COLUMN())),OFFSET($BN$2,0,0,ROW()-1,60),ROW()-1,FALSE))</f>
        <v>42436.595000000001</v>
      </c>
      <c r="Q37">
        <f ca="1">IF(AND(ISNUMBER($Q$178),$B$145=1),$Q$178,HLOOKUP(INDIRECT(ADDRESS(2,COLUMN())),OFFSET($BN$2,0,0,ROW()-1,60),ROW()-1,FALSE))</f>
        <v>43681.493999999999</v>
      </c>
      <c r="R37">
        <f ca="1">IF(AND(ISNUMBER($R$178),$B$145=1),$R$178,HLOOKUP(INDIRECT(ADDRESS(2,COLUMN())),OFFSET($BN$2,0,0,ROW()-1,60),ROW()-1,FALSE))</f>
        <v>45364.341999999997</v>
      </c>
      <c r="S37">
        <f ca="1">IF(AND(ISNUMBER($S$178),$B$145=1),$S$178,HLOOKUP(INDIRECT(ADDRESS(2,COLUMN())),OFFSET($BN$2,0,0,ROW()-1,60),ROW()-1,FALSE))</f>
        <v>40593.675000000003</v>
      </c>
      <c r="T37">
        <f ca="1">IF(AND(ISNUMBER($T$178),$B$145=1),$T$178,HLOOKUP(INDIRECT(ADDRESS(2,COLUMN())),OFFSET($BN$2,0,0,ROW()-1,60),ROW()-1,FALSE))</f>
        <v>34638.347000000002</v>
      </c>
      <c r="U37">
        <f ca="1">IF(AND(ISNUMBER($U$178),$B$145=1),$U$178,HLOOKUP(INDIRECT(ADDRESS(2,COLUMN())),OFFSET($BN$2,0,0,ROW()-1,60),ROW()-1,FALSE))</f>
        <v>33922.410000000003</v>
      </c>
      <c r="V37">
        <f ca="1">IF(AND(ISNUMBER($V$178),$B$145=1),$V$178,HLOOKUP(INDIRECT(ADDRESS(2,COLUMN())),OFFSET($BN$2,0,0,ROW()-1,60),ROW()-1,FALSE))</f>
        <v>27556.113000000001</v>
      </c>
      <c r="W37">
        <f ca="1">IF(AND(ISNUMBER($W$178),$B$145=1),$W$178,HLOOKUP(INDIRECT(ADDRESS(2,COLUMN())),OFFSET($BN$2,0,0,ROW()-1,60),ROW()-1,FALSE))</f>
        <v>27895.147000000001</v>
      </c>
      <c r="X37">
        <f ca="1">IF(AND(ISNUMBER($X$178),$B$145=1),$X$178,HLOOKUP(INDIRECT(ADDRESS(2,COLUMN())),OFFSET($BN$2,0,0,ROW()-1,60),ROW()-1,FALSE))</f>
        <v>23599.77</v>
      </c>
      <c r="Y37">
        <f ca="1">IF(AND(ISNUMBER($Y$178),$B$145=1),$Y$178,HLOOKUP(INDIRECT(ADDRESS(2,COLUMN())),OFFSET($BN$2,0,0,ROW()-1,60),ROW()-1,FALSE))</f>
        <v>20807.178</v>
      </c>
      <c r="Z37">
        <f ca="1">IF(AND(ISNUMBER($Z$178),$B$145=1),$Z$178,HLOOKUP(INDIRECT(ADDRESS(2,COLUMN())),OFFSET($BN$2,0,0,ROW()-1,60),ROW()-1,FALSE))</f>
        <v>21842.433000000001</v>
      </c>
      <c r="AA37">
        <f ca="1">IF(AND(ISNUMBER($AA$178),$B$145=1),$AA$178,HLOOKUP(INDIRECT(ADDRESS(2,COLUMN())),OFFSET($BN$2,0,0,ROW()-1,60),ROW()-1,FALSE))</f>
        <v>22377.811000000002</v>
      </c>
      <c r="AB37">
        <f ca="1">IF(AND(ISNUMBER($AB$178),$B$145=1),$AB$178,HLOOKUP(INDIRECT(ADDRESS(2,COLUMN())),OFFSET($BN$2,0,0,ROW()-1,60),ROW()-1,FALSE))</f>
        <v>21528.102999999999</v>
      </c>
      <c r="AC37">
        <f ca="1">IF(AND(ISNUMBER($AC$178),$B$145=1),$AC$178,HLOOKUP(INDIRECT(ADDRESS(2,COLUMN())),OFFSET($BN$2,0,0,ROW()-1,60),ROW()-1,FALSE))</f>
        <v>20853.653999999999</v>
      </c>
      <c r="AD37">
        <f ca="1">IF(AND(ISNUMBER($AD$178),$B$145=1),$AD$178,HLOOKUP(INDIRECT(ADDRESS(2,COLUMN())),OFFSET($BN$2,0,0,ROW()-1,60),ROW()-1,FALSE))</f>
        <v>19427.600999999999</v>
      </c>
      <c r="AE37">
        <f ca="1">IF(AND(ISNUMBER($AE$178),$B$145=1),$AE$178,HLOOKUP(INDIRECT(ADDRESS(2,COLUMN())),OFFSET($BN$2,0,0,ROW()-1,60),ROW()-1,FALSE))</f>
        <v>18341.286</v>
      </c>
      <c r="AF37">
        <f ca="1">IF(AND(ISNUMBER($AF$178),$B$145=1),$AF$178,HLOOKUP(INDIRECT(ADDRESS(2,COLUMN())),OFFSET($BN$2,0,0,ROW()-1,60),ROW()-1,FALSE))</f>
        <v>17367.366000000002</v>
      </c>
      <c r="AG37">
        <f ca="1">IF(AND(ISNUMBER($AG$178),$B$145=1),$AG$178,HLOOKUP(INDIRECT(ADDRESS(2,COLUMN())),OFFSET($BN$2,0,0,ROW()-1,60),ROW()-1,FALSE))</f>
        <v>17888.143</v>
      </c>
      <c r="AH37">
        <f ca="1">IF(AND(ISNUMBER($AH$178),$B$145=1),$AH$178,HLOOKUP(INDIRECT(ADDRESS(2,COLUMN())),OFFSET($BN$2,0,0,ROW()-1,60),ROW()-1,FALSE))</f>
        <v>18139.146000000001</v>
      </c>
      <c r="AI37">
        <f ca="1">IF(AND(ISNUMBER($AI$178),$B$145=1),$AI$178,HLOOKUP(INDIRECT(ADDRESS(2,COLUMN())),OFFSET($BN$2,0,0,ROW()-1,60),ROW()-1,FALSE))</f>
        <v>19011.437999999998</v>
      </c>
      <c r="AJ37">
        <f ca="1">IF(AND(ISNUMBER($AJ$178),$B$145=1),$AJ$178,HLOOKUP(INDIRECT(ADDRESS(2,COLUMN())),OFFSET($BN$2,0,0,ROW()-1,60),ROW()-1,FALSE))</f>
        <v>18023.704000000002</v>
      </c>
      <c r="AK37">
        <f ca="1">IF(AND(ISNUMBER($AK$178),$B$145=1),$AK$178,HLOOKUP(INDIRECT(ADDRESS(2,COLUMN())),OFFSET($BN$2,0,0,ROW()-1,60),ROW()-1,FALSE))</f>
        <v>18431.187000000002</v>
      </c>
      <c r="AL37">
        <f ca="1">IF(AND(ISNUMBER($AL$178),$B$145=1),$AL$178,HLOOKUP(INDIRECT(ADDRESS(2,COLUMN())),OFFSET($BN$2,0,0,ROW()-1,60),ROW()-1,FALSE))</f>
        <v>20211.651999999998</v>
      </c>
      <c r="AM37">
        <f ca="1">IF(AND(ISNUMBER($AM$178),$B$145=1),$AM$178,HLOOKUP(INDIRECT(ADDRESS(2,COLUMN())),OFFSET($BN$2,0,0,ROW()-1,60),ROW()-1,FALSE))</f>
        <v>20540.103999999999</v>
      </c>
      <c r="AN37">
        <f ca="1">IF(AND(ISNUMBER($AN$178),$B$145=1),$AN$178,HLOOKUP(INDIRECT(ADDRESS(2,COLUMN())),OFFSET($BN$2,0,0,ROW()-1,60),ROW()-1,FALSE))</f>
        <v>14551.664000000001</v>
      </c>
      <c r="AO37">
        <f ca="1">IF(AND(ISNUMBER($AO$178),$B$145=1),$AO$178,HLOOKUP(INDIRECT(ADDRESS(2,COLUMN())),OFFSET($BN$2,0,0,ROW()-1,60),ROW()-1,FALSE))</f>
        <v>14303.572</v>
      </c>
      <c r="AP37">
        <f ca="1">IF(AND(ISNUMBER($AP$178),$B$145=1),$AP$178,HLOOKUP(INDIRECT(ADDRESS(2,COLUMN())),OFFSET($BN$2,0,0,ROW()-1,60),ROW()-1,FALSE))</f>
        <v>14217.891</v>
      </c>
      <c r="AQ37">
        <f ca="1">IF(AND(ISNUMBER($AQ$178),$B$145=1),$AQ$178,HLOOKUP(INDIRECT(ADDRESS(2,COLUMN())),OFFSET($BN$2,0,0,ROW()-1,60),ROW()-1,FALSE))</f>
        <v>14375.946</v>
      </c>
      <c r="AR37">
        <f ca="1">IF(AND(ISNUMBER($AR$178),$B$145=1),$AR$178,HLOOKUP(INDIRECT(ADDRESS(2,COLUMN())),OFFSET($BN$2,0,0,ROW()-1,60),ROW()-1,FALSE))</f>
        <v>14243.868</v>
      </c>
      <c r="AS37">
        <f ca="1">IF(AND(ISNUMBER($AS$178),$B$145=1),$AS$178,HLOOKUP(INDIRECT(ADDRESS(2,COLUMN())),OFFSET($BN$2,0,0,ROW()-1,60),ROW()-1,FALSE))</f>
        <v>13120.127</v>
      </c>
      <c r="AT37">
        <f ca="1">IF(AND(ISNUMBER($AT$178),$B$145=1),$AT$178,HLOOKUP(INDIRECT(ADDRESS(2,COLUMN())),OFFSET($BN$2,0,0,ROW()-1,60),ROW()-1,FALSE))</f>
        <v>13359.713</v>
      </c>
      <c r="AU37">
        <f ca="1">IF(AND(ISNUMBER($AU$178),$B$145=1),$AU$178,HLOOKUP(INDIRECT(ADDRESS(2,COLUMN())),OFFSET($BN$2,0,0,ROW()-1,60),ROW()-1,FALSE))</f>
        <v>12244.438</v>
      </c>
      <c r="AV37">
        <f ca="1">IF(AND(ISNUMBER($AV$178),$B$145=1),$AV$178,HLOOKUP(INDIRECT(ADDRESS(2,COLUMN())),OFFSET($BN$2,0,0,ROW()-1,60),ROW()-1,FALSE))</f>
        <v>12223.947</v>
      </c>
      <c r="AW37">
        <f ca="1">IF(AND(ISNUMBER($AW$178),$B$145=1),$AW$178,HLOOKUP(INDIRECT(ADDRESS(2,COLUMN())),OFFSET($BN$2,0,0,ROW()-1,60),ROW()-1,FALSE))</f>
        <v>12358.522999999999</v>
      </c>
      <c r="AX37">
        <f ca="1">IF(AND(ISNUMBER($AX$178),$B$145=1),$AX$178,HLOOKUP(INDIRECT(ADDRESS(2,COLUMN())),OFFSET($BN$2,0,0,ROW()-1,60),ROW()-1,FALSE))</f>
        <v>12346.38</v>
      </c>
      <c r="AY37">
        <f ca="1">IF(AND(ISNUMBER($AY$178),$B$145=1),$AY$178,HLOOKUP(INDIRECT(ADDRESS(2,COLUMN())),OFFSET($BN$2,0,0,ROW()-1,60),ROW()-1,FALSE))</f>
        <v>12606.062</v>
      </c>
      <c r="AZ37">
        <f ca="1">IF(AND(ISNUMBER($AZ$178),$B$145=1),$AZ$178,HLOOKUP(INDIRECT(ADDRESS(2,COLUMN())),OFFSET($BN$2,0,0,ROW()-1,60),ROW()-1,FALSE))</f>
        <v>13252.933000000001</v>
      </c>
      <c r="BA37">
        <f ca="1">IF(AND(ISNUMBER($BA$178),$B$145=1),$BA$178,HLOOKUP(INDIRECT(ADDRESS(2,COLUMN())),OFFSET($BN$2,0,0,ROW()-1,60),ROW()-1,FALSE))</f>
        <v>13496.346</v>
      </c>
      <c r="BB37">
        <f ca="1">IF(AND(ISNUMBER($BB$178),$B$145=1),$BB$178,HLOOKUP(INDIRECT(ADDRESS(2,COLUMN())),OFFSET($BN$2,0,0,ROW()-1,60),ROW()-1,FALSE))</f>
        <v>12094.467000000001</v>
      </c>
      <c r="BC37">
        <f ca="1">IF(AND(ISNUMBER($BC$178),$B$145=1),$BC$178,HLOOKUP(INDIRECT(ADDRESS(2,COLUMN())),OFFSET($BN$2,0,0,ROW()-1,60),ROW()-1,FALSE))</f>
        <v>11961.9</v>
      </c>
      <c r="BD37">
        <f ca="1">IF(AND(ISNUMBER($BD$178),$B$145=1),$BD$178,HLOOKUP(INDIRECT(ADDRESS(2,COLUMN())),OFFSET($BN$2,0,0,ROW()-1,60),ROW()-1,FALSE))</f>
        <v>13204.934999999999</v>
      </c>
      <c r="BE37">
        <f ca="1">IF(AND(ISNUMBER($BE$178),$B$145=1),$BE$178,HLOOKUP(INDIRECT(ADDRESS(2,COLUMN())),OFFSET($BN$2,0,0,ROW()-1,60),ROW()-1,FALSE))</f>
        <v>14632.751</v>
      </c>
      <c r="BF37">
        <f ca="1">IF(AND(ISNUMBER($BF$178),$B$145=1),$BF$178,HLOOKUP(INDIRECT(ADDRESS(2,COLUMN())),OFFSET($BN$2,0,0,ROW()-1,60),ROW()-1,FALSE))</f>
        <v>16011.960999999999</v>
      </c>
      <c r="BG37">
        <f ca="1">IF(AND(ISNUMBER($BG$178),$B$145=1),$BG$178,HLOOKUP(INDIRECT(ADDRESS(2,COLUMN())),OFFSET($BN$2,0,0,ROW()-1,60),ROW()-1,FALSE))</f>
        <v>17611.560000000001</v>
      </c>
      <c r="BH37">
        <f ca="1">IF(AND(ISNUMBER($BH$178),$B$145=1),$BH$178,HLOOKUP(INDIRECT(ADDRESS(2,COLUMN())),OFFSET($BN$2,0,0,ROW()-1,60),ROW()-1,FALSE))</f>
        <v>18680.002</v>
      </c>
      <c r="BI37">
        <f ca="1">IF(AND(ISNUMBER($BI$178),$B$145=1),$BI$178,HLOOKUP(INDIRECT(ADDRESS(2,COLUMN())),OFFSET($BN$2,0,0,ROW()-1,60),ROW()-1,FALSE))</f>
        <v>19447.974999999999</v>
      </c>
      <c r="BJ37">
        <f ca="1">IF(AND(ISNUMBER($BJ$178),$B$145=1),$BJ$178,HLOOKUP(INDIRECT(ADDRESS(2,COLUMN())),OFFSET($BN$2,0,0,ROW()-1,60),ROW()-1,FALSE))</f>
        <v>21932.718000000001</v>
      </c>
      <c r="BK37">
        <f ca="1">IF(AND(ISNUMBER($BK$178),$B$145=1),$BK$178,HLOOKUP(INDIRECT(ADDRESS(2,COLUMN())),OFFSET($BN$2,0,0,ROW()-1,60),ROW()-1,FALSE))</f>
        <v>21240.620999999999</v>
      </c>
      <c r="BL37">
        <f ca="1">IF(AND(ISNUMBER($BL$178),$B$145=1),$BL$178,HLOOKUP(INDIRECT(ADDRESS(2,COLUMN())),OFFSET($BN$2,0,0,ROW()-1,60),ROW()-1,FALSE))</f>
        <v>19772.617999999999</v>
      </c>
      <c r="BM37" t="str">
        <f ca="1">IF(AND(ISNUMBER($BM$178),$B$145=1),$BM$178,HLOOKUP(INDIRECT(ADDRESS(2,COLUMN())),OFFSET($BN$2,0,0,ROW()-1,60),ROW()-1,FALSE))</f>
        <v/>
      </c>
      <c r="BN37">
        <f>37706.59</f>
        <v>37706.589999999997</v>
      </c>
      <c r="BO37">
        <f>34169.269</f>
        <v>34169.269</v>
      </c>
      <c r="BP37">
        <f>37459.909</f>
        <v>37459.909</v>
      </c>
      <c r="BQ37">
        <f>37297.712</f>
        <v>37297.712</v>
      </c>
      <c r="BR37">
        <f>37185.498</f>
        <v>37185.498</v>
      </c>
      <c r="BS37">
        <f>35839.08</f>
        <v>35839.08</v>
      </c>
      <c r="BT37">
        <f>37907.577</f>
        <v>37907.576999999997</v>
      </c>
      <c r="BU37">
        <f>39497.7</f>
        <v>39497.699999999997</v>
      </c>
      <c r="BV37">
        <f>39116.716</f>
        <v>39116.716</v>
      </c>
      <c r="BW37">
        <f>39999.857</f>
        <v>39999.857000000004</v>
      </c>
      <c r="BX37">
        <f>42436.595</f>
        <v>42436.595000000001</v>
      </c>
      <c r="BY37">
        <f>43681.494</f>
        <v>43681.493999999999</v>
      </c>
      <c r="BZ37">
        <f>45364.342</f>
        <v>45364.341999999997</v>
      </c>
      <c r="CA37">
        <f>40593.675</f>
        <v>40593.675000000003</v>
      </c>
      <c r="CB37">
        <f>34638.347</f>
        <v>34638.347000000002</v>
      </c>
      <c r="CC37">
        <f>33922.41</f>
        <v>33922.410000000003</v>
      </c>
      <c r="CD37">
        <f>27556.113</f>
        <v>27556.113000000001</v>
      </c>
      <c r="CE37">
        <f>27895.147</f>
        <v>27895.147000000001</v>
      </c>
      <c r="CF37">
        <f>23599.77</f>
        <v>23599.77</v>
      </c>
      <c r="CG37">
        <f>20807.178</f>
        <v>20807.178</v>
      </c>
      <c r="CH37">
        <f>21842.433</f>
        <v>21842.433000000001</v>
      </c>
      <c r="CI37">
        <f>22377.811</f>
        <v>22377.811000000002</v>
      </c>
      <c r="CJ37">
        <f>21528.103</f>
        <v>21528.102999999999</v>
      </c>
      <c r="CK37">
        <f>20853.654</f>
        <v>20853.653999999999</v>
      </c>
      <c r="CL37">
        <f>19427.601</f>
        <v>19427.600999999999</v>
      </c>
      <c r="CM37">
        <f>18341.286</f>
        <v>18341.286</v>
      </c>
      <c r="CN37">
        <f>17367.366</f>
        <v>17367.366000000002</v>
      </c>
      <c r="CO37">
        <f>17888.143</f>
        <v>17888.143</v>
      </c>
      <c r="CP37">
        <f>18139.146</f>
        <v>18139.146000000001</v>
      </c>
      <c r="CQ37">
        <f>19011.438</f>
        <v>19011.437999999998</v>
      </c>
      <c r="CR37">
        <f>18023.704</f>
        <v>18023.704000000002</v>
      </c>
      <c r="CS37">
        <f>18431.187</f>
        <v>18431.187000000002</v>
      </c>
      <c r="CT37">
        <f>20211.652</f>
        <v>20211.651999999998</v>
      </c>
      <c r="CU37">
        <f>20540.104</f>
        <v>20540.103999999999</v>
      </c>
      <c r="CV37">
        <f>14551.664</f>
        <v>14551.664000000001</v>
      </c>
      <c r="CW37">
        <f>14303.572</f>
        <v>14303.572</v>
      </c>
      <c r="CX37">
        <f>14217.891</f>
        <v>14217.891</v>
      </c>
      <c r="CY37">
        <f>14375.946</f>
        <v>14375.946</v>
      </c>
      <c r="CZ37">
        <f>14243.868</f>
        <v>14243.868</v>
      </c>
      <c r="DA37">
        <f>13120.127</f>
        <v>13120.127</v>
      </c>
      <c r="DB37">
        <f>13359.713</f>
        <v>13359.713</v>
      </c>
      <c r="DC37">
        <f>12244.438</f>
        <v>12244.438</v>
      </c>
      <c r="DD37">
        <f>12223.947</f>
        <v>12223.947</v>
      </c>
      <c r="DE37">
        <f>12358.523</f>
        <v>12358.522999999999</v>
      </c>
      <c r="DF37">
        <f>12346.38</f>
        <v>12346.38</v>
      </c>
      <c r="DG37">
        <f>12606.062</f>
        <v>12606.062</v>
      </c>
      <c r="DH37">
        <f>13252.933</f>
        <v>13252.933000000001</v>
      </c>
      <c r="DI37">
        <f>13496.346</f>
        <v>13496.346</v>
      </c>
      <c r="DJ37">
        <f>12094.467</f>
        <v>12094.467000000001</v>
      </c>
      <c r="DK37">
        <f>11961.9</f>
        <v>11961.9</v>
      </c>
      <c r="DL37">
        <f>13204.935</f>
        <v>13204.934999999999</v>
      </c>
      <c r="DM37">
        <f>14632.751</f>
        <v>14632.751</v>
      </c>
      <c r="DN37">
        <f>16011.961</f>
        <v>16011.960999999999</v>
      </c>
      <c r="DO37">
        <f>17611.56</f>
        <v>17611.560000000001</v>
      </c>
      <c r="DP37">
        <f>18680.002</f>
        <v>18680.002</v>
      </c>
      <c r="DQ37">
        <f>19447.975</f>
        <v>19447.974999999999</v>
      </c>
      <c r="DR37">
        <f>21932.718</f>
        <v>21932.718000000001</v>
      </c>
      <c r="DS37">
        <f>21240.621</f>
        <v>21240.620999999999</v>
      </c>
      <c r="DT37">
        <f>19772.618</f>
        <v>19772.617999999999</v>
      </c>
      <c r="DU37" t="str">
        <f>""</f>
        <v/>
      </c>
    </row>
    <row r="38" spans="1:125" x14ac:dyDescent="0.25">
      <c r="A38" t="str">
        <f>"                M&amp;T Bank Corp"</f>
        <v xml:space="preserve">                M&amp;T Bank Corp</v>
      </c>
      <c r="B38" t="str">
        <f>"MTB US Equity"</f>
        <v>MTB US Equity</v>
      </c>
      <c r="C38" t="str">
        <f t="shared" si="3"/>
        <v>FC471</v>
      </c>
      <c r="D38" t="str">
        <f t="shared" si="4"/>
        <v>FDIC_SECS_AVAIL_FOR_SALE_MKT_VAL</v>
      </c>
      <c r="E38" t="str">
        <f t="shared" si="5"/>
        <v>Dynamic</v>
      </c>
      <c r="F38">
        <f ca="1">IF(AND(ISNUMBER($F$179),$B$145=1),$F$179,HLOOKUP(INDIRECT(ADDRESS(2,COLUMN())),OFFSET($BN$2,0,0,ROW()-1,60),ROW()-1,FALSE))</f>
        <v>18849.29</v>
      </c>
      <c r="G38">
        <f ca="1">IF(AND(ISNUMBER($G$179),$B$145=1),$G$179,HLOOKUP(INDIRECT(ADDRESS(2,COLUMN())),OFFSET($BN$2,0,0,ROW()-1,60),ROW()-1,FALSE))</f>
        <v>16726.683000000001</v>
      </c>
      <c r="H38">
        <f ca="1">IF(AND(ISNUMBER($H$179),$B$145=1),$H$179,HLOOKUP(INDIRECT(ADDRESS(2,COLUMN())),OFFSET($BN$2,0,0,ROW()-1,60),ROW()-1,FALSE))</f>
        <v>13891.665000000001</v>
      </c>
      <c r="I38">
        <f ca="1">IF(AND(ISNUMBER($I$179),$B$145=1),$I$179,HLOOKUP(INDIRECT(ADDRESS(2,COLUMN())),OFFSET($BN$2,0,0,ROW()-1,60),ROW()-1,FALSE))</f>
        <v>12133.781000000001</v>
      </c>
      <c r="J38">
        <f ca="1">IF(AND(ISNUMBER($J$179),$B$145=1),$J$179,HLOOKUP(INDIRECT(ADDRESS(2,COLUMN())),OFFSET($BN$2,0,0,ROW()-1,60),ROW()-1,FALSE))</f>
        <v>10440.198</v>
      </c>
      <c r="K38">
        <f ca="1">IF(AND(ISNUMBER($K$179),$B$145=1),$K$179,HLOOKUP(INDIRECT(ADDRESS(2,COLUMN())),OFFSET($BN$2,0,0,ROW()-1,60),ROW()-1,FALSE))</f>
        <v>10592.409</v>
      </c>
      <c r="L38">
        <f ca="1">IF(AND(ISNUMBER($L$179),$B$145=1),$L$179,HLOOKUP(INDIRECT(ADDRESS(2,COLUMN())),OFFSET($BN$2,0,0,ROW()-1,60),ROW()-1,FALSE))</f>
        <v>10807.659</v>
      </c>
      <c r="M38">
        <f ca="1">IF(AND(ISNUMBER($M$179),$B$145=1),$M$179,HLOOKUP(INDIRECT(ADDRESS(2,COLUMN())),OFFSET($BN$2,0,0,ROW()-1,60),ROW()-1,FALSE))</f>
        <v>11038.922</v>
      </c>
      <c r="N38">
        <f ca="1">IF(AND(ISNUMBER($N$179),$B$145=1),$N$179,HLOOKUP(INDIRECT(ADDRESS(2,COLUMN())),OFFSET($BN$2,0,0,ROW()-1,60),ROW()-1,FALSE))</f>
        <v>10748.960999999999</v>
      </c>
      <c r="O38">
        <f ca="1">IF(AND(ISNUMBER($O$179),$B$145=1),$O$179,HLOOKUP(INDIRECT(ADDRESS(2,COLUMN())),OFFSET($BN$2,0,0,ROW()-1,60),ROW()-1,FALSE))</f>
        <v>10870.346</v>
      </c>
      <c r="P38">
        <f ca="1">IF(AND(ISNUMBER($P$179),$B$145=1),$P$179,HLOOKUP(INDIRECT(ADDRESS(2,COLUMN())),OFFSET($BN$2,0,0,ROW()-1,60),ROW()-1,FALSE))</f>
        <v>8704.9549999999999</v>
      </c>
      <c r="Q38">
        <f ca="1">IF(AND(ISNUMBER($Q$179),$B$145=1),$Q$179,HLOOKUP(INDIRECT(ADDRESS(2,COLUMN())),OFFSET($BN$2,0,0,ROW()-1,60),ROW()-1,FALSE))</f>
        <v>5705.1989999999996</v>
      </c>
      <c r="R38">
        <f ca="1">IF(AND(ISNUMBER($R$179),$B$145=1),$R$179,HLOOKUP(INDIRECT(ADDRESS(2,COLUMN())),OFFSET($BN$2,0,0,ROW()-1,60),ROW()-1,FALSE))</f>
        <v>3955.8040000000001</v>
      </c>
      <c r="S38">
        <f ca="1">IF(AND(ISNUMBER($S$179),$B$145=1),$S$179,HLOOKUP(INDIRECT(ADDRESS(2,COLUMN())),OFFSET($BN$2,0,0,ROW()-1,60),ROW()-1,FALSE))</f>
        <v>3618.1060000000002</v>
      </c>
      <c r="T38">
        <f ca="1">IF(AND(ISNUMBER($T$179),$B$145=1),$T$179,HLOOKUP(INDIRECT(ADDRESS(2,COLUMN())),OFFSET($BN$2,0,0,ROW()-1,60),ROW()-1,FALSE))</f>
        <v>3959.7829999999999</v>
      </c>
      <c r="U38">
        <f ca="1">IF(AND(ISNUMBER($U$179),$B$145=1),$U$179,HLOOKUP(INDIRECT(ADDRESS(2,COLUMN())),OFFSET($BN$2,0,0,ROW()-1,60),ROW()-1,FALSE))</f>
        <v>4364.4369999999999</v>
      </c>
      <c r="V38">
        <f ca="1">IF(AND(ISNUMBER($V$179),$B$145=1),$V$179,HLOOKUP(INDIRECT(ADDRESS(2,COLUMN())),OFFSET($BN$2,0,0,ROW()-1,60),ROW()-1,FALSE))</f>
        <v>4822.6059999999998</v>
      </c>
      <c r="W38">
        <f ca="1">IF(AND(ISNUMBER($W$179),$B$145=1),$W$179,HLOOKUP(INDIRECT(ADDRESS(2,COLUMN())),OFFSET($BN$2,0,0,ROW()-1,60),ROW()-1,FALSE))</f>
        <v>5302.3379999999997</v>
      </c>
      <c r="X38">
        <f ca="1">IF(AND(ISNUMBER($X$179),$B$145=1),$X$179,HLOOKUP(INDIRECT(ADDRESS(2,COLUMN())),OFFSET($BN$2,0,0,ROW()-1,60),ROW()-1,FALSE))</f>
        <v>5821.2740000000003</v>
      </c>
      <c r="Y38">
        <f ca="1">IF(AND(ISNUMBER($Y$179),$B$145=1),$Y$179,HLOOKUP(INDIRECT(ADDRESS(2,COLUMN())),OFFSET($BN$2,0,0,ROW()-1,60),ROW()-1,FALSE))</f>
        <v>6139.9790000000003</v>
      </c>
      <c r="Z38">
        <f ca="1">IF(AND(ISNUMBER($Z$179),$B$145=1),$Z$179,HLOOKUP(INDIRECT(ADDRESS(2,COLUMN())),OFFSET($BN$2,0,0,ROW()-1,60),ROW()-1,FALSE))</f>
        <v>6318.7759999999998</v>
      </c>
      <c r="AA38">
        <f ca="1">IF(AND(ISNUMBER($AA$179),$B$145=1),$AA$179,HLOOKUP(INDIRECT(ADDRESS(2,COLUMN())),OFFSET($BN$2,0,0,ROW()-1,60),ROW()-1,FALSE))</f>
        <v>6985.4170000000004</v>
      </c>
      <c r="AB38">
        <f ca="1">IF(AND(ISNUMBER($AB$179),$B$145=1),$AB$179,HLOOKUP(INDIRECT(ADDRESS(2,COLUMN())),OFFSET($BN$2,0,0,ROW()-1,60),ROW()-1,FALSE))</f>
        <v>7380.34</v>
      </c>
      <c r="AC38">
        <f ca="1">IF(AND(ISNUMBER($AC$179),$B$145=1),$AC$179,HLOOKUP(INDIRECT(ADDRESS(2,COLUMN())),OFFSET($BN$2,0,0,ROW()-1,60),ROW()-1,FALSE))</f>
        <v>8325.5840000000007</v>
      </c>
      <c r="AD38">
        <f ca="1">IF(AND(ISNUMBER($AD$179),$B$145=1),$AD$179,HLOOKUP(INDIRECT(ADDRESS(2,COLUMN())),OFFSET($BN$2,0,0,ROW()-1,60),ROW()-1,FALSE))</f>
        <v>8682.509</v>
      </c>
      <c r="AE38">
        <f ca="1">IF(AND(ISNUMBER($AE$179),$B$145=1),$AE$179,HLOOKUP(INDIRECT(ADDRESS(2,COLUMN())),OFFSET($BN$2,0,0,ROW()-1,60),ROW()-1,FALSE))</f>
        <v>9154.5149999999994</v>
      </c>
      <c r="AF38">
        <f ca="1">IF(AND(ISNUMBER($AF$179),$B$145=1),$AF$179,HLOOKUP(INDIRECT(ADDRESS(2,COLUMN())),OFFSET($BN$2,0,0,ROW()-1,60),ROW()-1,FALSE))</f>
        <v>9658.8459999999995</v>
      </c>
      <c r="AG38">
        <f ca="1">IF(AND(ISNUMBER($AG$179),$B$145=1),$AG$179,HLOOKUP(INDIRECT(ADDRESS(2,COLUMN())),OFFSET($BN$2,0,0,ROW()-1,60),ROW()-1,FALSE))</f>
        <v>10297.856</v>
      </c>
      <c r="AH38">
        <f ca="1">IF(AND(ISNUMBER($AH$179),$B$145=1),$AH$179,HLOOKUP(INDIRECT(ADDRESS(2,COLUMN())),OFFSET($BN$2,0,0,ROW()-1,60),ROW()-1,FALSE))</f>
        <v>10896.284</v>
      </c>
      <c r="AI38">
        <f ca="1">IF(AND(ISNUMBER($AI$179),$B$145=1),$AI$179,HLOOKUP(INDIRECT(ADDRESS(2,COLUMN())),OFFSET($BN$2,0,0,ROW()-1,60),ROW()-1,FALSE))</f>
        <v>11416.087</v>
      </c>
      <c r="AJ38">
        <f ca="1">IF(AND(ISNUMBER($AJ$179),$B$145=1),$AJ$179,HLOOKUP(INDIRECT(ADDRESS(2,COLUMN())),OFFSET($BN$2,0,0,ROW()-1,60),ROW()-1,FALSE))</f>
        <v>11928.115</v>
      </c>
      <c r="AK38">
        <f ca="1">IF(AND(ISNUMBER($AK$179),$B$145=1),$AK$179,HLOOKUP(INDIRECT(ADDRESS(2,COLUMN())),OFFSET($BN$2,0,0,ROW()-1,60),ROW()-1,FALSE))</f>
        <v>12630.218000000001</v>
      </c>
      <c r="AL38">
        <f ca="1">IF(AND(ISNUMBER($AL$179),$B$145=1),$AL$179,HLOOKUP(INDIRECT(ADDRESS(2,COLUMN())),OFFSET($BN$2,0,0,ROW()-1,60),ROW()-1,FALSE))</f>
        <v>13331.365</v>
      </c>
      <c r="AM38">
        <f ca="1">IF(AND(ISNUMBER($AM$179),$B$145=1),$AM$179,HLOOKUP(INDIRECT(ADDRESS(2,COLUMN())),OFFSET($BN$2,0,0,ROW()-1,60),ROW()-1,FALSE))</f>
        <v>11861.861999999999</v>
      </c>
      <c r="AN38">
        <f ca="1">IF(AND(ISNUMBER($AN$179),$B$145=1),$AN$179,HLOOKUP(INDIRECT(ADDRESS(2,COLUMN())),OFFSET($BN$2,0,0,ROW()-1,60),ROW()-1,FALSE))</f>
        <v>11918.263000000001</v>
      </c>
      <c r="AO38">
        <f ca="1">IF(AND(ISNUMBER($AO$179),$B$145=1),$AO$179,HLOOKUP(INDIRECT(ADDRESS(2,COLUMN())),OFFSET($BN$2,0,0,ROW()-1,60),ROW()-1,FALSE))</f>
        <v>12199.951999999999</v>
      </c>
      <c r="AP38">
        <f ca="1">IF(AND(ISNUMBER($AP$179),$B$145=1),$AP$179,HLOOKUP(INDIRECT(ADDRESS(2,COLUMN())),OFFSET($BN$2,0,0,ROW()-1,60),ROW()-1,FALSE))</f>
        <v>12241.965</v>
      </c>
      <c r="AQ38">
        <f ca="1">IF(AND(ISNUMBER($AQ$179),$B$145=1),$AQ$179,HLOOKUP(INDIRECT(ADDRESS(2,COLUMN())),OFFSET($BN$2,0,0,ROW()-1,60),ROW()-1,FALSE))</f>
        <v>11158.789000000001</v>
      </c>
      <c r="AR38">
        <f ca="1">IF(AND(ISNUMBER($AR$179),$B$145=1),$AR$179,HLOOKUP(INDIRECT(ADDRESS(2,COLUMN())),OFFSET($BN$2,0,0,ROW()-1,60),ROW()-1,FALSE))</f>
        <v>11250.117</v>
      </c>
      <c r="AS38">
        <f ca="1">IF(AND(ISNUMBER($AS$179),$B$145=1),$AS$179,HLOOKUP(INDIRECT(ADDRESS(2,COLUMN())),OFFSET($BN$2,0,0,ROW()-1,60),ROW()-1,FALSE))</f>
        <v>10702.991</v>
      </c>
      <c r="AT38">
        <f ca="1">IF(AND(ISNUMBER($AT$179),$B$145=1),$AT$179,HLOOKUP(INDIRECT(ADDRESS(2,COLUMN())),OFFSET($BN$2,0,0,ROW()-1,60),ROW()-1,FALSE))</f>
        <v>9156.3819999999996</v>
      </c>
      <c r="AU38">
        <f ca="1">IF(AND(ISNUMBER($AU$179),$B$145=1),$AU$179,HLOOKUP(INDIRECT(ADDRESS(2,COLUMN())),OFFSET($BN$2,0,0,ROW()-1,60),ROW()-1,FALSE))</f>
        <v>9383.4869999999992</v>
      </c>
      <c r="AV38">
        <f ca="1">IF(AND(ISNUMBER($AV$179),$B$145=1),$AV$179,HLOOKUP(INDIRECT(ADDRESS(2,COLUMN())),OFFSET($BN$2,0,0,ROW()-1,60),ROW()-1,FALSE))</f>
        <v>8008.26</v>
      </c>
      <c r="AW38">
        <f ca="1">IF(AND(ISNUMBER($AW$179),$B$145=1),$AW$179,HLOOKUP(INDIRECT(ADDRESS(2,COLUMN())),OFFSET($BN$2,0,0,ROW()-1,60),ROW()-1,FALSE))</f>
        <v>6191.0420000000004</v>
      </c>
      <c r="AX38">
        <f ca="1">IF(AND(ISNUMBER($AX$179),$B$145=1),$AX$179,HLOOKUP(INDIRECT(ADDRESS(2,COLUMN())),OFFSET($BN$2,0,0,ROW()-1,60),ROW()-1,FALSE))</f>
        <v>4531.26</v>
      </c>
      <c r="AY38">
        <f ca="1">IF(AND(ISNUMBER($AY$179),$B$145=1),$AY$179,HLOOKUP(INDIRECT(ADDRESS(2,COLUMN())),OFFSET($BN$2,0,0,ROW()-1,60),ROW()-1,FALSE))</f>
        <v>4690.4309999999996</v>
      </c>
      <c r="AZ38">
        <f ca="1">IF(AND(ISNUMBER($AZ$179),$B$145=1),$AZ$179,HLOOKUP(INDIRECT(ADDRESS(2,COLUMN())),OFFSET($BN$2,0,0,ROW()-1,60),ROW()-1,FALSE))</f>
        <v>3083.337</v>
      </c>
      <c r="BA38">
        <f ca="1">IF(AND(ISNUMBER($BA$179),$B$145=1),$BA$179,HLOOKUP(INDIRECT(ADDRESS(2,COLUMN())),OFFSET($BN$2,0,0,ROW()-1,60),ROW()-1,FALSE))</f>
        <v>4398.9120000000003</v>
      </c>
      <c r="BB38">
        <f ca="1">IF(AND(ISNUMBER($BB$179),$B$145=1),$BB$179,HLOOKUP(INDIRECT(ADDRESS(2,COLUMN())),OFFSET($BN$2,0,0,ROW()-1,60),ROW()-1,FALSE))</f>
        <v>4737.643</v>
      </c>
      <c r="BC38">
        <f ca="1">IF(AND(ISNUMBER($BC$179),$B$145=1),$BC$179,HLOOKUP(INDIRECT(ADDRESS(2,COLUMN())),OFFSET($BN$2,0,0,ROW()-1,60),ROW()-1,FALSE))</f>
        <v>5181.9859999999999</v>
      </c>
      <c r="BD38">
        <f ca="1">IF(AND(ISNUMBER($BD$179),$B$145=1),$BD$179,HLOOKUP(INDIRECT(ADDRESS(2,COLUMN())),OFFSET($BN$2,0,0,ROW()-1,60),ROW()-1,FALSE))</f>
        <v>5532.018</v>
      </c>
      <c r="BE38">
        <f ca="1">IF(AND(ISNUMBER($BE$179),$B$145=1),$BE$179,HLOOKUP(INDIRECT(ADDRESS(2,COLUMN())),OFFSET($BN$2,0,0,ROW()-1,60),ROW()-1,FALSE))</f>
        <v>5836.0280000000002</v>
      </c>
      <c r="BF38">
        <f ca="1">IF(AND(ISNUMBER($BF$179),$B$145=1),$BF$179,HLOOKUP(INDIRECT(ADDRESS(2,COLUMN())),OFFSET($BN$2,0,0,ROW()-1,60),ROW()-1,FALSE))</f>
        <v>6226.5910000000003</v>
      </c>
      <c r="BG38">
        <f ca="1">IF(AND(ISNUMBER($BG$179),$B$145=1),$BG$179,HLOOKUP(INDIRECT(ADDRESS(2,COLUMN())),OFFSET($BN$2,0,0,ROW()-1,60),ROW()-1,FALSE))</f>
        <v>5633.51</v>
      </c>
      <c r="BH38">
        <f ca="1">IF(AND(ISNUMBER($BH$179),$B$145=1),$BH$179,HLOOKUP(INDIRECT(ADDRESS(2,COLUMN())),OFFSET($BN$2,0,0,ROW()-1,60),ROW()-1,FALSE))</f>
        <v>4888.0069999999996</v>
      </c>
      <c r="BI38">
        <f ca="1">IF(AND(ISNUMBER($BI$179),$B$145=1),$BI$179,HLOOKUP(INDIRECT(ADDRESS(2,COLUMN())),OFFSET($BN$2,0,0,ROW()-1,60),ROW()-1,FALSE))</f>
        <v>4853.067</v>
      </c>
      <c r="BJ38">
        <f ca="1">IF(AND(ISNUMBER($BJ$179),$B$145=1),$BJ$179,HLOOKUP(INDIRECT(ADDRESS(2,COLUMN())),OFFSET($BN$2,0,0,ROW()-1,60),ROW()-1,FALSE))</f>
        <v>5411.5690000000004</v>
      </c>
      <c r="BK38">
        <f ca="1">IF(AND(ISNUMBER($BK$179),$B$145=1),$BK$179,HLOOKUP(INDIRECT(ADDRESS(2,COLUMN())),OFFSET($BN$2,0,0,ROW()-1,60),ROW()-1,FALSE))</f>
        <v>5781.2139999999999</v>
      </c>
      <c r="BL38">
        <f ca="1">IF(AND(ISNUMBER($BL$179),$B$145=1),$BL$179,HLOOKUP(INDIRECT(ADDRESS(2,COLUMN())),OFFSET($BN$2,0,0,ROW()-1,60),ROW()-1,FALSE))</f>
        <v>6147.808</v>
      </c>
      <c r="BM38" t="str">
        <f ca="1">IF(AND(ISNUMBER($BM$179),$B$145=1),$BM$179,HLOOKUP(INDIRECT(ADDRESS(2,COLUMN())),OFFSET($BN$2,0,0,ROW()-1,60),ROW()-1,FALSE))</f>
        <v/>
      </c>
      <c r="BN38">
        <f>18849.29</f>
        <v>18849.29</v>
      </c>
      <c r="BO38">
        <f>16726.683</f>
        <v>16726.683000000001</v>
      </c>
      <c r="BP38">
        <f>13891.665</f>
        <v>13891.665000000001</v>
      </c>
      <c r="BQ38">
        <f>12133.781</f>
        <v>12133.781000000001</v>
      </c>
      <c r="BR38">
        <f>10440.198</f>
        <v>10440.198</v>
      </c>
      <c r="BS38">
        <f>10592.409</f>
        <v>10592.409</v>
      </c>
      <c r="BT38">
        <f>10807.659</f>
        <v>10807.659</v>
      </c>
      <c r="BU38">
        <f>11038.922</f>
        <v>11038.922</v>
      </c>
      <c r="BV38">
        <f>10748.961</f>
        <v>10748.960999999999</v>
      </c>
      <c r="BW38">
        <f>10870.346</f>
        <v>10870.346</v>
      </c>
      <c r="BX38">
        <f>8704.955</f>
        <v>8704.9549999999999</v>
      </c>
      <c r="BY38">
        <f>5705.199</f>
        <v>5705.1989999999996</v>
      </c>
      <c r="BZ38">
        <f>3955.804</f>
        <v>3955.8040000000001</v>
      </c>
      <c r="CA38">
        <f>3618.106</f>
        <v>3618.1060000000002</v>
      </c>
      <c r="CB38">
        <f>3959.783</f>
        <v>3959.7829999999999</v>
      </c>
      <c r="CC38">
        <f>4364.437</f>
        <v>4364.4369999999999</v>
      </c>
      <c r="CD38">
        <f>4822.606</f>
        <v>4822.6059999999998</v>
      </c>
      <c r="CE38">
        <f>5302.338</f>
        <v>5302.3379999999997</v>
      </c>
      <c r="CF38">
        <f>5821.274</f>
        <v>5821.2740000000003</v>
      </c>
      <c r="CG38">
        <f>6139.979</f>
        <v>6139.9790000000003</v>
      </c>
      <c r="CH38">
        <f>6318.776</f>
        <v>6318.7759999999998</v>
      </c>
      <c r="CI38">
        <f>6985.417</f>
        <v>6985.4170000000004</v>
      </c>
      <c r="CJ38">
        <f>7380.34</f>
        <v>7380.34</v>
      </c>
      <c r="CK38">
        <f>8325.584</f>
        <v>8325.5840000000007</v>
      </c>
      <c r="CL38">
        <f>8682.509</f>
        <v>8682.509</v>
      </c>
      <c r="CM38">
        <f>9154.515</f>
        <v>9154.5149999999994</v>
      </c>
      <c r="CN38">
        <f>9658.846</f>
        <v>9658.8459999999995</v>
      </c>
      <c r="CO38">
        <f>10297.856</f>
        <v>10297.856</v>
      </c>
      <c r="CP38">
        <f>10896.284</f>
        <v>10896.284</v>
      </c>
      <c r="CQ38">
        <f>11416.087</f>
        <v>11416.087</v>
      </c>
      <c r="CR38">
        <f>11928.115</f>
        <v>11928.115</v>
      </c>
      <c r="CS38">
        <f>12630.218</f>
        <v>12630.218000000001</v>
      </c>
      <c r="CT38">
        <f>13331.365</f>
        <v>13331.365</v>
      </c>
      <c r="CU38">
        <f>11861.862</f>
        <v>11861.861999999999</v>
      </c>
      <c r="CV38">
        <f>11918.263</f>
        <v>11918.263000000001</v>
      </c>
      <c r="CW38">
        <f>12199.952</f>
        <v>12199.951999999999</v>
      </c>
      <c r="CX38">
        <f>12241.965</f>
        <v>12241.965</v>
      </c>
      <c r="CY38">
        <f>11158.789</f>
        <v>11158.789000000001</v>
      </c>
      <c r="CZ38">
        <f>11250.117</f>
        <v>11250.117</v>
      </c>
      <c r="DA38">
        <f>10702.991</f>
        <v>10702.991</v>
      </c>
      <c r="DB38">
        <f>9156.382</f>
        <v>9156.3819999999996</v>
      </c>
      <c r="DC38">
        <f>9383.487</f>
        <v>9383.4869999999992</v>
      </c>
      <c r="DD38">
        <f>8008.26</f>
        <v>8008.26</v>
      </c>
      <c r="DE38">
        <f>6191.042</f>
        <v>6191.0420000000004</v>
      </c>
      <c r="DF38">
        <f>4531.26</f>
        <v>4531.26</v>
      </c>
      <c r="DG38">
        <f>4690.431</f>
        <v>4690.4309999999996</v>
      </c>
      <c r="DH38">
        <f>3083.337</f>
        <v>3083.337</v>
      </c>
      <c r="DI38">
        <f>4398.912</f>
        <v>4398.9120000000003</v>
      </c>
      <c r="DJ38">
        <f>4737.643</f>
        <v>4737.643</v>
      </c>
      <c r="DK38">
        <f>5181.986</f>
        <v>5181.9859999999999</v>
      </c>
      <c r="DL38">
        <f>5532.018</f>
        <v>5532.018</v>
      </c>
      <c r="DM38">
        <f>5836.028</f>
        <v>5836.0280000000002</v>
      </c>
      <c r="DN38">
        <f>6226.591</f>
        <v>6226.5910000000003</v>
      </c>
      <c r="DO38">
        <f>5633.51</f>
        <v>5633.51</v>
      </c>
      <c r="DP38">
        <f>4888.007</f>
        <v>4888.0069999999996</v>
      </c>
      <c r="DQ38">
        <f>4853.067</f>
        <v>4853.067</v>
      </c>
      <c r="DR38">
        <f>5411.569</f>
        <v>5411.5690000000004</v>
      </c>
      <c r="DS38">
        <f>5781.214</f>
        <v>5781.2139999999999</v>
      </c>
      <c r="DT38">
        <f>6147.808</f>
        <v>6147.808</v>
      </c>
      <c r="DU38" t="str">
        <f>""</f>
        <v/>
      </c>
    </row>
    <row r="39" spans="1:125" x14ac:dyDescent="0.25">
      <c r="A39" t="str">
        <f>"                PNC Financial Services Group I"</f>
        <v xml:space="preserve">                PNC Financial Services Group I</v>
      </c>
      <c r="B39" t="str">
        <f>"PNC US Equity"</f>
        <v>PNC US Equity</v>
      </c>
      <c r="C39" t="str">
        <f t="shared" si="3"/>
        <v>FC471</v>
      </c>
      <c r="D39" t="str">
        <f t="shared" si="4"/>
        <v>FDIC_SECS_AVAIL_FOR_SALE_MKT_VAL</v>
      </c>
      <c r="E39" t="str">
        <f t="shared" si="5"/>
        <v>Dynamic</v>
      </c>
      <c r="F39" t="str">
        <f ca="1">IF(AND(ISNUMBER($F$180),$B$145=1),$F$180,HLOOKUP(INDIRECT(ADDRESS(2,COLUMN())),OFFSET($BN$2,0,0,ROW()-1,60),ROW()-1,FALSE))</f>
        <v/>
      </c>
      <c r="G39">
        <f ca="1">IF(AND(ISNUMBER($G$180),$B$145=1),$G$180,HLOOKUP(INDIRECT(ADDRESS(2,COLUMN())),OFFSET($BN$2,0,0,ROW()-1,60),ROW()-1,FALSE))</f>
        <v>60338.084000000003</v>
      </c>
      <c r="H39">
        <f ca="1">IF(AND(ISNUMBER($H$180),$B$145=1),$H$180,HLOOKUP(INDIRECT(ADDRESS(2,COLUMN())),OFFSET($BN$2,0,0,ROW()-1,60),ROW()-1,FALSE))</f>
        <v>51188.114999999998</v>
      </c>
      <c r="I39">
        <f ca="1">IF(AND(ISNUMBER($I$180),$B$145=1),$I$180,HLOOKUP(INDIRECT(ADDRESS(2,COLUMN())),OFFSET($BN$2,0,0,ROW()-1,60),ROW()-1,FALSE))</f>
        <v>42280.438000000002</v>
      </c>
      <c r="J39">
        <f ca="1">IF(AND(ISNUMBER($J$180),$B$145=1),$J$180,HLOOKUP(INDIRECT(ADDRESS(2,COLUMN())),OFFSET($BN$2,0,0,ROW()-1,60),ROW()-1,FALSE))</f>
        <v>41784.665000000001</v>
      </c>
      <c r="K39">
        <f ca="1">IF(AND(ISNUMBER($K$180),$B$145=1),$K$180,HLOOKUP(INDIRECT(ADDRESS(2,COLUMN())),OFFSET($BN$2,0,0,ROW()-1,60),ROW()-1,FALSE))</f>
        <v>40589.587</v>
      </c>
      <c r="L39">
        <f ca="1">IF(AND(ISNUMBER($L$180),$B$145=1),$L$180,HLOOKUP(INDIRECT(ADDRESS(2,COLUMN())),OFFSET($BN$2,0,0,ROW()-1,60),ROW()-1,FALSE))</f>
        <v>41787.434000000001</v>
      </c>
      <c r="M39">
        <f ca="1">IF(AND(ISNUMBER($M$180),$B$145=1),$M$180,HLOOKUP(INDIRECT(ADDRESS(2,COLUMN())),OFFSET($BN$2,0,0,ROW()-1,60),ROW()-1,FALSE))</f>
        <v>43220.362000000001</v>
      </c>
      <c r="N39">
        <f ca="1">IF(AND(ISNUMBER($N$180),$B$145=1),$N$180,HLOOKUP(INDIRECT(ADDRESS(2,COLUMN())),OFFSET($BN$2,0,0,ROW()-1,60),ROW()-1,FALSE))</f>
        <v>44158.53</v>
      </c>
      <c r="O39">
        <f ca="1">IF(AND(ISNUMBER($O$180),$B$145=1),$O$180,HLOOKUP(INDIRECT(ADDRESS(2,COLUMN())),OFFSET($BN$2,0,0,ROW()-1,60),ROW()-1,FALSE))</f>
        <v>45798.491000000002</v>
      </c>
      <c r="P39">
        <f ca="1">IF(AND(ISNUMBER($P$180),$B$145=1),$P$180,HLOOKUP(INDIRECT(ADDRESS(2,COLUMN())),OFFSET($BN$2,0,0,ROW()-1,60),ROW()-1,FALSE))</f>
        <v>52983.625</v>
      </c>
      <c r="Q39">
        <f ca="1">IF(AND(ISNUMBER($Q$180),$B$145=1),$Q$180,HLOOKUP(INDIRECT(ADDRESS(2,COLUMN())),OFFSET($BN$2,0,0,ROW()-1,60),ROW()-1,FALSE))</f>
        <v>112313.33</v>
      </c>
      <c r="R39">
        <f ca="1">IF(AND(ISNUMBER($R$180),$B$145=1),$R$180,HLOOKUP(INDIRECT(ADDRESS(2,COLUMN())),OFFSET($BN$2,0,0,ROW()-1,60),ROW()-1,FALSE))</f>
        <v>131535.696</v>
      </c>
      <c r="S39">
        <f ca="1">IF(AND(ISNUMBER($S$180),$B$145=1),$S$180,HLOOKUP(INDIRECT(ADDRESS(2,COLUMN())),OFFSET($BN$2,0,0,ROW()-1,60),ROW()-1,FALSE))</f>
        <v>124126.67200000001</v>
      </c>
      <c r="T39">
        <f ca="1">IF(AND(ISNUMBER($T$180),$B$145=1),$T$180,HLOOKUP(INDIRECT(ADDRESS(2,COLUMN())),OFFSET($BN$2,0,0,ROW()-1,60),ROW()-1,FALSE))</f>
        <v>125057.928</v>
      </c>
      <c r="U39">
        <f ca="1">IF(AND(ISNUMBER($U$180),$B$145=1),$U$180,HLOOKUP(INDIRECT(ADDRESS(2,COLUMN())),OFFSET($BN$2,0,0,ROW()-1,60),ROW()-1,FALSE))</f>
        <v>96798.66</v>
      </c>
      <c r="V39">
        <f ca="1">IF(AND(ISNUMBER($V$180),$B$145=1),$V$180,HLOOKUP(INDIRECT(ADDRESS(2,COLUMN())),OFFSET($BN$2,0,0,ROW()-1,60),ROW()-1,FALSE))</f>
        <v>87357.81</v>
      </c>
      <c r="W39">
        <f ca="1">IF(AND(ISNUMBER($W$180),$B$145=1),$W$180,HLOOKUP(INDIRECT(ADDRESS(2,COLUMN())),OFFSET($BN$2,0,0,ROW()-1,60),ROW()-1,FALSE))</f>
        <v>89746.775999999998</v>
      </c>
      <c r="X39">
        <f ca="1">IF(AND(ISNUMBER($X$180),$B$145=1),$X$180,HLOOKUP(INDIRECT(ADDRESS(2,COLUMN())),OFFSET($BN$2,0,0,ROW()-1,60),ROW()-1,FALSE))</f>
        <v>97052.442999999999</v>
      </c>
      <c r="Y39">
        <f ca="1">IF(AND(ISNUMBER($Y$180),$B$145=1),$Y$180,HLOOKUP(INDIRECT(ADDRESS(2,COLUMN())),OFFSET($BN$2,0,0,ROW()-1,60),ROW()-1,FALSE))</f>
        <v>89077.625</v>
      </c>
      <c r="Z39">
        <f ca="1">IF(AND(ISNUMBER($Z$180),$B$145=1),$Z$180,HLOOKUP(INDIRECT(ADDRESS(2,COLUMN())),OFFSET($BN$2,0,0,ROW()-1,60),ROW()-1,FALSE))</f>
        <v>69163.373999999996</v>
      </c>
      <c r="AA39">
        <f ca="1">IF(AND(ISNUMBER($AA$180),$B$145=1),$AA$180,HLOOKUP(INDIRECT(ADDRESS(2,COLUMN())),OFFSET($BN$2,0,0,ROW()-1,60),ROW()-1,FALSE))</f>
        <v>69056.740999999995</v>
      </c>
      <c r="AB39">
        <f ca="1">IF(AND(ISNUMBER($AB$180),$B$145=1),$AB$180,HLOOKUP(INDIRECT(ADDRESS(2,COLUMN())),OFFSET($BN$2,0,0,ROW()-1,60),ROW()-1,FALSE))</f>
        <v>69354.885999999999</v>
      </c>
      <c r="AC39">
        <f ca="1">IF(AND(ISNUMBER($AC$180),$B$145=1),$AC$180,HLOOKUP(INDIRECT(ADDRESS(2,COLUMN())),OFFSET($BN$2,0,0,ROW()-1,60),ROW()-1,FALSE))</f>
        <v>65051.339</v>
      </c>
      <c r="AD39">
        <f ca="1">IF(AND(ISNUMBER($AD$180),$B$145=1),$AD$180,HLOOKUP(INDIRECT(ADDRESS(2,COLUMN())),OFFSET($BN$2,0,0,ROW()-1,60),ROW()-1,FALSE))</f>
        <v>63388.987000000001</v>
      </c>
      <c r="AE39">
        <f ca="1">IF(AND(ISNUMBER($AE$180),$B$145=1),$AE$180,HLOOKUP(INDIRECT(ADDRESS(2,COLUMN())),OFFSET($BN$2,0,0,ROW()-1,60),ROW()-1,FALSE))</f>
        <v>61210.692999999999</v>
      </c>
      <c r="AF39">
        <f ca="1">IF(AND(ISNUMBER($AF$180),$B$145=1),$AF$180,HLOOKUP(INDIRECT(ADDRESS(2,COLUMN())),OFFSET($BN$2,0,0,ROW()-1,60),ROW()-1,FALSE))</f>
        <v>60275.188999999998</v>
      </c>
      <c r="AG39">
        <f ca="1">IF(AND(ISNUMBER($AG$180),$B$145=1),$AG$180,HLOOKUP(INDIRECT(ADDRESS(2,COLUMN())),OFFSET($BN$2,0,0,ROW()-1,60),ROW()-1,FALSE))</f>
        <v>56017.978999999999</v>
      </c>
      <c r="AH39">
        <f ca="1">IF(AND(ISNUMBER($AH$180),$B$145=1),$AH$180,HLOOKUP(INDIRECT(ADDRESS(2,COLUMN())),OFFSET($BN$2,0,0,ROW()-1,60),ROW()-1,FALSE))</f>
        <v>57617.582000000002</v>
      </c>
      <c r="AI39">
        <f ca="1">IF(AND(ISNUMBER($AI$180),$B$145=1),$AI$180,HLOOKUP(INDIRECT(ADDRESS(2,COLUMN())),OFFSET($BN$2,0,0,ROW()-1,60),ROW()-1,FALSE))</f>
        <v>57253.997000000003</v>
      </c>
      <c r="AJ39">
        <f ca="1">IF(AND(ISNUMBER($AJ$180),$B$145=1),$AJ$180,HLOOKUP(INDIRECT(ADDRESS(2,COLUMN())),OFFSET($BN$2,0,0,ROW()-1,60),ROW()-1,FALSE))</f>
        <v>58878.266000000003</v>
      </c>
      <c r="AK39">
        <f ca="1">IF(AND(ISNUMBER($AK$180),$B$145=1),$AK$180,HLOOKUP(INDIRECT(ADDRESS(2,COLUMN())),OFFSET($BN$2,0,0,ROW()-1,60),ROW()-1,FALSE))</f>
        <v>59339.457000000002</v>
      </c>
      <c r="AL39">
        <f ca="1">IF(AND(ISNUMBER($AL$180),$B$145=1),$AL$180,HLOOKUP(INDIRECT(ADDRESS(2,COLUMN())),OFFSET($BN$2,0,0,ROW()-1,60),ROW()-1,FALSE))</f>
        <v>60104.421000000002</v>
      </c>
      <c r="AM39">
        <f ca="1">IF(AND(ISNUMBER($AM$180),$B$145=1),$AM$180,HLOOKUP(INDIRECT(ADDRESS(2,COLUMN())),OFFSET($BN$2,0,0,ROW()-1,60),ROW()-1,FALSE))</f>
        <v>61940.88</v>
      </c>
      <c r="AN39">
        <f ca="1">IF(AND(ISNUMBER($AN$180),$B$145=1),$AN$180,HLOOKUP(INDIRECT(ADDRESS(2,COLUMN())),OFFSET($BN$2,0,0,ROW()-1,60),ROW()-1,FALSE))</f>
        <v>56883.608999999997</v>
      </c>
      <c r="AO39">
        <f ca="1">IF(AND(ISNUMBER($AO$180),$B$145=1),$AO$180,HLOOKUP(INDIRECT(ADDRESS(2,COLUMN())),OFFSET($BN$2,0,0,ROW()-1,60),ROW()-1,FALSE))</f>
        <v>57414.993999999999</v>
      </c>
      <c r="AP39">
        <f ca="1">IF(AND(ISNUMBER($AP$180),$B$145=1),$AP$180,HLOOKUP(INDIRECT(ADDRESS(2,COLUMN())),OFFSET($BN$2,0,0,ROW()-1,60),ROW()-1,FALSE))</f>
        <v>55759.184999999998</v>
      </c>
      <c r="AQ39">
        <f ca="1">IF(AND(ISNUMBER($AQ$180),$B$145=1),$AQ$180,HLOOKUP(INDIRECT(ADDRESS(2,COLUMN())),OFFSET($BN$2,0,0,ROW()-1,60),ROW()-1,FALSE))</f>
        <v>53662.847999999998</v>
      </c>
      <c r="AR39">
        <f ca="1">IF(AND(ISNUMBER($AR$180),$B$145=1),$AR$180,HLOOKUP(INDIRECT(ADDRESS(2,COLUMN())),OFFSET($BN$2,0,0,ROW()-1,60),ROW()-1,FALSE))</f>
        <v>47679.004000000001</v>
      </c>
      <c r="AS39">
        <f ca="1">IF(AND(ISNUMBER($AS$180),$B$145=1),$AS$180,HLOOKUP(INDIRECT(ADDRESS(2,COLUMN())),OFFSET($BN$2,0,0,ROW()-1,60),ROW()-1,FALSE))</f>
        <v>47579.476999999999</v>
      </c>
      <c r="AT39">
        <f ca="1">IF(AND(ISNUMBER($AT$180),$B$145=1),$AT$180,HLOOKUP(INDIRECT(ADDRESS(2,COLUMN())),OFFSET($BN$2,0,0,ROW()-1,60),ROW()-1,FALSE))</f>
        <v>44234.612000000001</v>
      </c>
      <c r="AU39">
        <f ca="1">IF(AND(ISNUMBER($AU$180),$B$145=1),$AU$180,HLOOKUP(INDIRECT(ADDRESS(2,COLUMN())),OFFSET($BN$2,0,0,ROW()-1,60),ROW()-1,FALSE))</f>
        <v>43620.059000000001</v>
      </c>
      <c r="AV39">
        <f ca="1">IF(AND(ISNUMBER($AV$180),$B$145=1),$AV$180,HLOOKUP(INDIRECT(ADDRESS(2,COLUMN())),OFFSET($BN$2,0,0,ROW()-1,60),ROW()-1,FALSE))</f>
        <v>44518.631999999998</v>
      </c>
      <c r="AW39">
        <f ca="1">IF(AND(ISNUMBER($AW$180),$B$145=1),$AW$180,HLOOKUP(INDIRECT(ADDRESS(2,COLUMN())),OFFSET($BN$2,0,0,ROW()-1,60),ROW()-1,FALSE))</f>
        <v>47483.173000000003</v>
      </c>
      <c r="AX39">
        <f ca="1">IF(AND(ISNUMBER($AX$180),$B$145=1),$AX$180,HLOOKUP(INDIRECT(ADDRESS(2,COLUMN())),OFFSET($BN$2,0,0,ROW()-1,60),ROW()-1,FALSE))</f>
        <v>48607.728999999999</v>
      </c>
      <c r="AY39">
        <f ca="1">IF(AND(ISNUMBER($AY$180),$B$145=1),$AY$180,HLOOKUP(INDIRECT(ADDRESS(2,COLUMN())),OFFSET($BN$2,0,0,ROW()-1,60),ROW()-1,FALSE))</f>
        <v>45761.396000000001</v>
      </c>
      <c r="AZ39">
        <f ca="1">IF(AND(ISNUMBER($AZ$180),$B$145=1),$AZ$180,HLOOKUP(INDIRECT(ADDRESS(2,COLUMN())),OFFSET($BN$2,0,0,ROW()-1,60),ROW()-1,FALSE))</f>
        <v>47898.913</v>
      </c>
      <c r="BA39">
        <f ca="1">IF(AND(ISNUMBER($BA$180),$B$145=1),$BA$180,HLOOKUP(INDIRECT(ADDRESS(2,COLUMN())),OFFSET($BN$2,0,0,ROW()-1,60),ROW()-1,FALSE))</f>
        <v>49536.305999999997</v>
      </c>
      <c r="BB39">
        <f ca="1">IF(AND(ISNUMBER($BB$180),$B$145=1),$BB$180,HLOOKUP(INDIRECT(ADDRESS(2,COLUMN())),OFFSET($BN$2,0,0,ROW()-1,60),ROW()-1,FALSE))</f>
        <v>51052.209000000003</v>
      </c>
      <c r="BC39">
        <f ca="1">IF(AND(ISNUMBER($BC$180),$B$145=1),$BC$180,HLOOKUP(INDIRECT(ADDRESS(2,COLUMN())),OFFSET($BN$2,0,0,ROW()-1,60),ROW()-1,FALSE))</f>
        <v>52132.463000000003</v>
      </c>
      <c r="BD39">
        <f ca="1">IF(AND(ISNUMBER($BD$180),$B$145=1),$BD$180,HLOOKUP(INDIRECT(ADDRESS(2,COLUMN())),OFFSET($BN$2,0,0,ROW()-1,60),ROW()-1,FALSE))</f>
        <v>51251.514999999999</v>
      </c>
      <c r="BE39">
        <f ca="1">IF(AND(ISNUMBER($BE$180),$B$145=1),$BE$180,HLOOKUP(INDIRECT(ADDRESS(2,COLUMN())),OFFSET($BN$2,0,0,ROW()-1,60),ROW()-1,FALSE))</f>
        <v>53357.637000000002</v>
      </c>
      <c r="BF39">
        <f ca="1">IF(AND(ISNUMBER($BF$180),$B$145=1),$BF$180,HLOOKUP(INDIRECT(ADDRESS(2,COLUMN())),OFFSET($BN$2,0,0,ROW()-1,60),ROW()-1,FALSE))</f>
        <v>48568.536</v>
      </c>
      <c r="BG39">
        <f ca="1">IF(AND(ISNUMBER($BG$180),$B$145=1),$BG$180,HLOOKUP(INDIRECT(ADDRESS(2,COLUMN())),OFFSET($BN$2,0,0,ROW()-1,60),ROW()-1,FALSE))</f>
        <v>49715.021999999997</v>
      </c>
      <c r="BH39">
        <f ca="1">IF(AND(ISNUMBER($BH$180),$B$145=1),$BH$180,HLOOKUP(INDIRECT(ADDRESS(2,COLUMN())),OFFSET($BN$2,0,0,ROW()-1,60),ROW()-1,FALSE))</f>
        <v>49667.368000000002</v>
      </c>
      <c r="BI39">
        <f ca="1">IF(AND(ISNUMBER($BI$180),$B$145=1),$BI$180,HLOOKUP(INDIRECT(ADDRESS(2,COLUMN())),OFFSET($BN$2,0,0,ROW()-1,60),ROW()-1,FALSE))</f>
        <v>54526.400000000001</v>
      </c>
      <c r="BJ39">
        <f ca="1">IF(AND(ISNUMBER($BJ$180),$B$145=1),$BJ$180,HLOOKUP(INDIRECT(ADDRESS(2,COLUMN())),OFFSET($BN$2,0,0,ROW()-1,60),ROW()-1,FALSE))</f>
        <v>57310.457000000002</v>
      </c>
      <c r="BK39">
        <f ca="1">IF(AND(ISNUMBER($BK$180),$B$145=1),$BK$180,HLOOKUP(INDIRECT(ADDRESS(2,COLUMN())),OFFSET($BN$2,0,0,ROW()-1,60),ROW()-1,FALSE))</f>
        <v>56049.714999999997</v>
      </c>
      <c r="BL39">
        <f ca="1">IF(AND(ISNUMBER($BL$180),$B$145=1),$BL$180,HLOOKUP(INDIRECT(ADDRESS(2,COLUMN())),OFFSET($BN$2,0,0,ROW()-1,60),ROW()-1,FALSE))</f>
        <v>45849.724999999999</v>
      </c>
      <c r="BM39">
        <f ca="1">IF(AND(ISNUMBER($BM$180),$B$145=1),$BM$180,HLOOKUP(INDIRECT(ADDRESS(2,COLUMN())),OFFSET($BN$2,0,0,ROW()-1,60),ROW()-1,FALSE))</f>
        <v>49541.571000000004</v>
      </c>
      <c r="BN39" t="str">
        <f>""</f>
        <v/>
      </c>
      <c r="BO39">
        <f>60338.084</f>
        <v>60338.084000000003</v>
      </c>
      <c r="BP39">
        <f>51188.115</f>
        <v>51188.114999999998</v>
      </c>
      <c r="BQ39">
        <f>42280.438</f>
        <v>42280.438000000002</v>
      </c>
      <c r="BR39">
        <f>41784.665</f>
        <v>41784.665000000001</v>
      </c>
      <c r="BS39">
        <f>40589.587</f>
        <v>40589.587</v>
      </c>
      <c r="BT39">
        <f>41787.434</f>
        <v>41787.434000000001</v>
      </c>
      <c r="BU39">
        <f>43220.362</f>
        <v>43220.362000000001</v>
      </c>
      <c r="BV39">
        <f>44158.53</f>
        <v>44158.53</v>
      </c>
      <c r="BW39">
        <f>45798.491</f>
        <v>45798.491000000002</v>
      </c>
      <c r="BX39">
        <f>52983.625</f>
        <v>52983.625</v>
      </c>
      <c r="BY39">
        <f>112313.33</f>
        <v>112313.33</v>
      </c>
      <c r="BZ39">
        <f>131535.696</f>
        <v>131535.696</v>
      </c>
      <c r="CA39">
        <f>124126.672</f>
        <v>124126.67200000001</v>
      </c>
      <c r="CB39">
        <f>125057.928</f>
        <v>125057.928</v>
      </c>
      <c r="CC39">
        <f>96798.66</f>
        <v>96798.66</v>
      </c>
      <c r="CD39">
        <f>87357.81</f>
        <v>87357.81</v>
      </c>
      <c r="CE39">
        <f>89746.776</f>
        <v>89746.775999999998</v>
      </c>
      <c r="CF39">
        <f>97052.443</f>
        <v>97052.442999999999</v>
      </c>
      <c r="CG39">
        <f>89077.625</f>
        <v>89077.625</v>
      </c>
      <c r="CH39">
        <f>69163.374</f>
        <v>69163.373999999996</v>
      </c>
      <c r="CI39">
        <f>69056.741</f>
        <v>69056.740999999995</v>
      </c>
      <c r="CJ39">
        <f>69354.886</f>
        <v>69354.885999999999</v>
      </c>
      <c r="CK39">
        <f>65051.339</f>
        <v>65051.339</v>
      </c>
      <c r="CL39">
        <f>63388.987</f>
        <v>63388.987000000001</v>
      </c>
      <c r="CM39">
        <f>61210.693</f>
        <v>61210.692999999999</v>
      </c>
      <c r="CN39">
        <f>60275.189</f>
        <v>60275.188999999998</v>
      </c>
      <c r="CO39">
        <f>56017.979</f>
        <v>56017.978999999999</v>
      </c>
      <c r="CP39">
        <f>57617.582</f>
        <v>57617.582000000002</v>
      </c>
      <c r="CQ39">
        <f>57253.997</f>
        <v>57253.997000000003</v>
      </c>
      <c r="CR39">
        <f>58878.266</f>
        <v>58878.266000000003</v>
      </c>
      <c r="CS39">
        <f>59339.457</f>
        <v>59339.457000000002</v>
      </c>
      <c r="CT39">
        <f>60104.421</f>
        <v>60104.421000000002</v>
      </c>
      <c r="CU39">
        <f>61940.88</f>
        <v>61940.88</v>
      </c>
      <c r="CV39">
        <f>56883.609</f>
        <v>56883.608999999997</v>
      </c>
      <c r="CW39">
        <f>57414.994</f>
        <v>57414.993999999999</v>
      </c>
      <c r="CX39">
        <f>55759.185</f>
        <v>55759.184999999998</v>
      </c>
      <c r="CY39">
        <f>53662.848</f>
        <v>53662.847999999998</v>
      </c>
      <c r="CZ39">
        <f>47679.004</f>
        <v>47679.004000000001</v>
      </c>
      <c r="DA39">
        <f>47579.477</f>
        <v>47579.476999999999</v>
      </c>
      <c r="DB39">
        <f>44234.612</f>
        <v>44234.612000000001</v>
      </c>
      <c r="DC39">
        <f>43620.059</f>
        <v>43620.059000000001</v>
      </c>
      <c r="DD39">
        <f>44518.632</f>
        <v>44518.631999999998</v>
      </c>
      <c r="DE39">
        <f>47483.173</f>
        <v>47483.173000000003</v>
      </c>
      <c r="DF39">
        <f>48607.729</f>
        <v>48607.728999999999</v>
      </c>
      <c r="DG39">
        <f>45761.396</f>
        <v>45761.396000000001</v>
      </c>
      <c r="DH39">
        <f>47898.913</f>
        <v>47898.913</v>
      </c>
      <c r="DI39">
        <f>49536.306</f>
        <v>49536.305999999997</v>
      </c>
      <c r="DJ39">
        <f>51052.209</f>
        <v>51052.209000000003</v>
      </c>
      <c r="DK39">
        <f>52132.463</f>
        <v>52132.463000000003</v>
      </c>
      <c r="DL39">
        <f>51251.515</f>
        <v>51251.514999999999</v>
      </c>
      <c r="DM39">
        <f>53357.637</f>
        <v>53357.637000000002</v>
      </c>
      <c r="DN39">
        <f>48568.536</f>
        <v>48568.536</v>
      </c>
      <c r="DO39">
        <f>49715.022</f>
        <v>49715.021999999997</v>
      </c>
      <c r="DP39">
        <f>49667.368</f>
        <v>49667.368000000002</v>
      </c>
      <c r="DQ39">
        <f>54526.4</f>
        <v>54526.400000000001</v>
      </c>
      <c r="DR39">
        <f>57310.457</f>
        <v>57310.457000000002</v>
      </c>
      <c r="DS39">
        <f>56049.715</f>
        <v>56049.714999999997</v>
      </c>
      <c r="DT39">
        <f>45849.725</f>
        <v>45849.724999999999</v>
      </c>
      <c r="DU39">
        <f>49541.571</f>
        <v>49541.571000000004</v>
      </c>
    </row>
    <row r="40" spans="1:125" x14ac:dyDescent="0.25">
      <c r="A40" t="str">
        <f>"                Regions Financial Corp"</f>
        <v xml:space="preserve">                Regions Financial Corp</v>
      </c>
      <c r="B40" t="str">
        <f>"RF US Equity"</f>
        <v>RF US Equity</v>
      </c>
      <c r="C40" t="str">
        <f t="shared" si="3"/>
        <v>FC471</v>
      </c>
      <c r="D40" t="str">
        <f t="shared" si="4"/>
        <v>FDIC_SECS_AVAIL_FOR_SALE_MKT_VAL</v>
      </c>
      <c r="E40" t="str">
        <f t="shared" si="5"/>
        <v>Dynamic</v>
      </c>
      <c r="F40" t="str">
        <f ca="1">IF(AND(ISNUMBER($F$181),$B$145=1),$F$181,HLOOKUP(INDIRECT(ADDRESS(2,COLUMN())),OFFSET($BN$2,0,0,ROW()-1,60),ROW()-1,FALSE))</f>
        <v/>
      </c>
      <c r="G40">
        <f ca="1">IF(AND(ISNUMBER($G$181),$B$145=1),$G$181,HLOOKUP(INDIRECT(ADDRESS(2,COLUMN())),OFFSET($BN$2,0,0,ROW()-1,60),ROW()-1,FALSE))</f>
        <v>28698</v>
      </c>
      <c r="H40">
        <f ca="1">IF(AND(ISNUMBER($H$181),$B$145=1),$H$181,HLOOKUP(INDIRECT(ADDRESS(2,COLUMN())),OFFSET($BN$2,0,0,ROW()-1,60),ROW()-1,FALSE))</f>
        <v>28537</v>
      </c>
      <c r="I40">
        <f ca="1">IF(AND(ISNUMBER($I$181),$B$145=1),$I$181,HLOOKUP(INDIRECT(ADDRESS(2,COLUMN())),OFFSET($BN$2,0,0,ROW()-1,60),ROW()-1,FALSE))</f>
        <v>27881</v>
      </c>
      <c r="J40">
        <f ca="1">IF(AND(ISNUMBER($J$181),$B$145=1),$J$181,HLOOKUP(INDIRECT(ADDRESS(2,COLUMN())),OFFSET($BN$2,0,0,ROW()-1,60),ROW()-1,FALSE))</f>
        <v>28104</v>
      </c>
      <c r="K40">
        <f ca="1">IF(AND(ISNUMBER($K$181),$B$145=1),$K$181,HLOOKUP(INDIRECT(ADDRESS(2,COLUMN())),OFFSET($BN$2,0,0,ROW()-1,60),ROW()-1,FALSE))</f>
        <v>26228</v>
      </c>
      <c r="L40">
        <f ca="1">IF(AND(ISNUMBER($L$181),$B$145=1),$L$181,HLOOKUP(INDIRECT(ADDRESS(2,COLUMN())),OFFSET($BN$2,0,0,ROW()-1,60),ROW()-1,FALSE))</f>
        <v>27296</v>
      </c>
      <c r="M40">
        <f ca="1">IF(AND(ISNUMBER($M$181),$B$145=1),$M$181,HLOOKUP(INDIRECT(ADDRESS(2,COLUMN())),OFFSET($BN$2,0,0,ROW()-1,60),ROW()-1,FALSE))</f>
        <v>28230</v>
      </c>
      <c r="N40">
        <f ca="1">IF(AND(ISNUMBER($N$181),$B$145=1),$N$181,HLOOKUP(INDIRECT(ADDRESS(2,COLUMN())),OFFSET($BN$2,0,0,ROW()-1,60),ROW()-1,FALSE))</f>
        <v>27933</v>
      </c>
      <c r="O40">
        <f ca="1">IF(AND(ISNUMBER($O$181),$B$145=1),$O$181,HLOOKUP(INDIRECT(ADDRESS(2,COLUMN())),OFFSET($BN$2,0,0,ROW()-1,60),ROW()-1,FALSE))</f>
        <v>28126</v>
      </c>
      <c r="P40">
        <f ca="1">IF(AND(ISNUMBER($P$181),$B$145=1),$P$181,HLOOKUP(INDIRECT(ADDRESS(2,COLUMN())),OFFSET($BN$2,0,0,ROW()-1,60),ROW()-1,FALSE))</f>
        <v>29052</v>
      </c>
      <c r="Q40">
        <f ca="1">IF(AND(ISNUMBER($Q$181),$B$145=1),$Q$181,HLOOKUP(INDIRECT(ADDRESS(2,COLUMN())),OFFSET($BN$2,0,0,ROW()-1,60),ROW()-1,FALSE))</f>
        <v>29384</v>
      </c>
      <c r="R40">
        <f ca="1">IF(AND(ISNUMBER($R$181),$B$145=1),$R$181,HLOOKUP(INDIRECT(ADDRESS(2,COLUMN())),OFFSET($BN$2,0,0,ROW()-1,60),ROW()-1,FALSE))</f>
        <v>28481</v>
      </c>
      <c r="S40">
        <f ca="1">IF(AND(ISNUMBER($S$181),$B$145=1),$S$181,HLOOKUP(INDIRECT(ADDRESS(2,COLUMN())),OFFSET($BN$2,0,0,ROW()-1,60),ROW()-1,FALSE))</f>
        <v>28986</v>
      </c>
      <c r="T40">
        <f ca="1">IF(AND(ISNUMBER($T$181),$B$145=1),$T$181,HLOOKUP(INDIRECT(ADDRESS(2,COLUMN())),OFFSET($BN$2,0,0,ROW()-1,60),ROW()-1,FALSE))</f>
        <v>29290</v>
      </c>
      <c r="U40">
        <f ca="1">IF(AND(ISNUMBER($U$181),$B$145=1),$U$181,HLOOKUP(INDIRECT(ADDRESS(2,COLUMN())),OFFSET($BN$2,0,0,ROW()-1,60),ROW()-1,FALSE))</f>
        <v>27091</v>
      </c>
      <c r="V40">
        <f ca="1">IF(AND(ISNUMBER($V$181),$B$145=1),$V$181,HLOOKUP(INDIRECT(ADDRESS(2,COLUMN())),OFFSET($BN$2,0,0,ROW()-1,60),ROW()-1,FALSE))</f>
        <v>27154</v>
      </c>
      <c r="W40">
        <f ca="1">IF(AND(ISNUMBER($W$181),$B$145=1),$W$181,HLOOKUP(INDIRECT(ADDRESS(2,COLUMN())),OFFSET($BN$2,0,0,ROW()-1,60),ROW()-1,FALSE))</f>
        <v>27007</v>
      </c>
      <c r="X40">
        <f ca="1">IF(AND(ISNUMBER($X$181),$B$145=1),$X$181,HLOOKUP(INDIRECT(ADDRESS(2,COLUMN())),OFFSET($BN$2,0,0,ROW()-1,60),ROW()-1,FALSE))</f>
        <v>23898</v>
      </c>
      <c r="Y40">
        <f ca="1">IF(AND(ISNUMBER($Y$181),$B$145=1),$Y$181,HLOOKUP(INDIRECT(ADDRESS(2,COLUMN())),OFFSET($BN$2,0,0,ROW()-1,60),ROW()-1,FALSE))</f>
        <v>23775</v>
      </c>
      <c r="Z40">
        <f ca="1">IF(AND(ISNUMBER($Z$181),$B$145=1),$Z$181,HLOOKUP(INDIRECT(ADDRESS(2,COLUMN())),OFFSET($BN$2,0,0,ROW()-1,60),ROW()-1,FALSE))</f>
        <v>22606</v>
      </c>
      <c r="AA40">
        <f ca="1">IF(AND(ISNUMBER($AA$181),$B$145=1),$AA$181,HLOOKUP(INDIRECT(ADDRESS(2,COLUMN())),OFFSET($BN$2,0,0,ROW()-1,60),ROW()-1,FALSE))</f>
        <v>22986</v>
      </c>
      <c r="AB40">
        <f ca="1">IF(AND(ISNUMBER($AB$181),$B$145=1),$AB$181,HLOOKUP(INDIRECT(ADDRESS(2,COLUMN())),OFFSET($BN$2,0,0,ROW()-1,60),ROW()-1,FALSE))</f>
        <v>22699</v>
      </c>
      <c r="AC40">
        <f ca="1">IF(AND(ISNUMBER($AC$181),$B$145=1),$AC$181,HLOOKUP(INDIRECT(ADDRESS(2,COLUMN())),OFFSET($BN$2,0,0,ROW()-1,60),ROW()-1,FALSE))</f>
        <v>23786</v>
      </c>
      <c r="AD40">
        <f ca="1">IF(AND(ISNUMBER($AD$181),$B$145=1),$AD$181,HLOOKUP(INDIRECT(ADDRESS(2,COLUMN())),OFFSET($BN$2,0,0,ROW()-1,60),ROW()-1,FALSE))</f>
        <v>22729.215</v>
      </c>
      <c r="AE40">
        <f ca="1">IF(AND(ISNUMBER($AE$181),$B$145=1),$AE$181,HLOOKUP(INDIRECT(ADDRESS(2,COLUMN())),OFFSET($BN$2,0,0,ROW()-1,60),ROW()-1,FALSE))</f>
        <v>22670.541000000001</v>
      </c>
      <c r="AF40">
        <f ca="1">IF(AND(ISNUMBER($AF$181),$B$145=1),$AF$181,HLOOKUP(INDIRECT(ADDRESS(2,COLUMN())),OFFSET($BN$2,0,0,ROW()-1,60),ROW()-1,FALSE))</f>
        <v>22934.581999999999</v>
      </c>
      <c r="AG40">
        <f ca="1">IF(AND(ISNUMBER($AG$181),$B$145=1),$AG$181,HLOOKUP(INDIRECT(ADDRESS(2,COLUMN())),OFFSET($BN$2,0,0,ROW()-1,60),ROW()-1,FALSE))</f>
        <v>23084.874</v>
      </c>
      <c r="AH40">
        <f ca="1">IF(AND(ISNUMBER($AH$181),$B$145=1),$AH$181,HLOOKUP(INDIRECT(ADDRESS(2,COLUMN())),OFFSET($BN$2,0,0,ROW()-1,60),ROW()-1,FALSE))</f>
        <v>23628.285</v>
      </c>
      <c r="AI40">
        <f ca="1">IF(AND(ISNUMBER($AI$181),$B$145=1),$AI$181,HLOOKUP(INDIRECT(ADDRESS(2,COLUMN())),OFFSET($BN$2,0,0,ROW()-1,60),ROW()-1,FALSE))</f>
        <v>23659.108</v>
      </c>
      <c r="AJ40">
        <f ca="1">IF(AND(ISNUMBER($AJ$181),$B$145=1),$AJ$181,HLOOKUP(INDIRECT(ADDRESS(2,COLUMN())),OFFSET($BN$2,0,0,ROW()-1,60),ROW()-1,FALSE))</f>
        <v>23607.451000000001</v>
      </c>
      <c r="AK40">
        <f ca="1">IF(AND(ISNUMBER($AK$181),$B$145=1),$AK$181,HLOOKUP(INDIRECT(ADDRESS(2,COLUMN())),OFFSET($BN$2,0,0,ROW()-1,60),ROW()-1,FALSE))</f>
        <v>23520.601999999999</v>
      </c>
      <c r="AL40">
        <f ca="1">IF(AND(ISNUMBER($AL$181),$B$145=1),$AL$181,HLOOKUP(INDIRECT(ADDRESS(2,COLUMN())),OFFSET($BN$2,0,0,ROW()-1,60),ROW()-1,FALSE))</f>
        <v>23781.337</v>
      </c>
      <c r="AM40">
        <f ca="1">IF(AND(ISNUMBER($AM$181),$B$145=1),$AM$181,HLOOKUP(INDIRECT(ADDRESS(2,COLUMN())),OFFSET($BN$2,0,0,ROW()-1,60),ROW()-1,FALSE))</f>
        <v>23859.106</v>
      </c>
      <c r="AN40">
        <f ca="1">IF(AND(ISNUMBER($AN$181),$B$145=1),$AN$181,HLOOKUP(INDIRECT(ADDRESS(2,COLUMN())),OFFSET($BN$2,0,0,ROW()-1,60),ROW()-1,FALSE))</f>
        <v>23493.512999999999</v>
      </c>
      <c r="AO40">
        <f ca="1">IF(AND(ISNUMBER($AO$181),$B$145=1),$AO$181,HLOOKUP(INDIRECT(ADDRESS(2,COLUMN())),OFFSET($BN$2,0,0,ROW()-1,60),ROW()-1,FALSE))</f>
        <v>23095.207999999999</v>
      </c>
      <c r="AP40">
        <f ca="1">IF(AND(ISNUMBER($AP$181),$B$145=1),$AP$181,HLOOKUP(INDIRECT(ADDRESS(2,COLUMN())),OFFSET($BN$2,0,0,ROW()-1,60),ROW()-1,FALSE))</f>
        <v>22710.133999999998</v>
      </c>
      <c r="AQ40">
        <f ca="1">IF(AND(ISNUMBER($AQ$181),$B$145=1),$AQ$181,HLOOKUP(INDIRECT(ADDRESS(2,COLUMN())),OFFSET($BN$2,0,0,ROW()-1,60),ROW()-1,FALSE))</f>
        <v>22033.95</v>
      </c>
      <c r="AR40">
        <f ca="1">IF(AND(ISNUMBER($AR$181),$B$145=1),$AR$181,HLOOKUP(INDIRECT(ADDRESS(2,COLUMN())),OFFSET($BN$2,0,0,ROW()-1,60),ROW()-1,FALSE))</f>
        <v>22044.690999999999</v>
      </c>
      <c r="AS40">
        <f ca="1">IF(AND(ISNUMBER($AS$181),$B$145=1),$AS$181,HLOOKUP(INDIRECT(ADDRESS(2,COLUMN())),OFFSET($BN$2,0,0,ROW()-1,60),ROW()-1,FALSE))</f>
        <v>22375.046999999999</v>
      </c>
      <c r="AT40">
        <f ca="1">IF(AND(ISNUMBER($AT$181),$B$145=1),$AT$181,HLOOKUP(INDIRECT(ADDRESS(2,COLUMN())),OFFSET($BN$2,0,0,ROW()-1,60),ROW()-1,FALSE))</f>
        <v>22052.867999999999</v>
      </c>
      <c r="AU40">
        <f ca="1">IF(AND(ISNUMBER($AU$181),$B$145=1),$AU$181,HLOOKUP(INDIRECT(ADDRESS(2,COLUMN())),OFFSET($BN$2,0,0,ROW()-1,60),ROW()-1,FALSE))</f>
        <v>21884.884999999998</v>
      </c>
      <c r="AV40">
        <f ca="1">IF(AND(ISNUMBER($AV$181),$B$145=1),$AV$181,HLOOKUP(INDIRECT(ADDRESS(2,COLUMN())),OFFSET($BN$2,0,0,ROW()-1,60),ROW()-1,FALSE))</f>
        <v>21469.496999999999</v>
      </c>
      <c r="AW40">
        <f ca="1">IF(AND(ISNUMBER($AW$181),$B$145=1),$AW$181,HLOOKUP(INDIRECT(ADDRESS(2,COLUMN())),OFFSET($BN$2,0,0,ROW()-1,60),ROW()-1,FALSE))</f>
        <v>21108.322</v>
      </c>
      <c r="AX40">
        <f ca="1">IF(AND(ISNUMBER($AX$181),$B$145=1),$AX$181,HLOOKUP(INDIRECT(ADDRESS(2,COLUMN())),OFFSET($BN$2,0,0,ROW()-1,60),ROW()-1,FALSE))</f>
        <v>20946.531999999999</v>
      </c>
      <c r="AY40">
        <f ca="1">IF(AND(ISNUMBER($AY$181),$B$145=1),$AY$181,HLOOKUP(INDIRECT(ADDRESS(2,COLUMN())),OFFSET($BN$2,0,0,ROW()-1,60),ROW()-1,FALSE))</f>
        <v>21067.975999999999</v>
      </c>
      <c r="AZ40">
        <f ca="1">IF(AND(ISNUMBER($AZ$181),$B$145=1),$AZ$181,HLOOKUP(INDIRECT(ADDRESS(2,COLUMN())),OFFSET($BN$2,0,0,ROW()-1,60),ROW()-1,FALSE))</f>
        <v>21393.337</v>
      </c>
      <c r="BA40">
        <f ca="1">IF(AND(ISNUMBER($BA$181),$B$145=1),$BA$181,HLOOKUP(INDIRECT(ADDRESS(2,COLUMN())),OFFSET($BN$2,0,0,ROW()-1,60),ROW()-1,FALSE))</f>
        <v>26537.906999999999</v>
      </c>
      <c r="BB40">
        <f ca="1">IF(AND(ISNUMBER($BB$181),$B$145=1),$BB$181,HLOOKUP(INDIRECT(ADDRESS(2,COLUMN())),OFFSET($BN$2,0,0,ROW()-1,60),ROW()-1,FALSE))</f>
        <v>26686.77</v>
      </c>
      <c r="BC40">
        <f ca="1">IF(AND(ISNUMBER($BC$181),$B$145=1),$BC$181,HLOOKUP(INDIRECT(ADDRESS(2,COLUMN())),OFFSET($BN$2,0,0,ROW()-1,60),ROW()-1,FALSE))</f>
        <v>27022.956999999999</v>
      </c>
      <c r="BD40">
        <f ca="1">IF(AND(ISNUMBER($BD$181),$B$145=1),$BD$181,HLOOKUP(INDIRECT(ADDRESS(2,COLUMN())),OFFSET($BN$2,0,0,ROW()-1,60),ROW()-1,FALSE))</f>
        <v>26617.105</v>
      </c>
      <c r="BE40">
        <f ca="1">IF(AND(ISNUMBER($BE$181),$B$145=1),$BE$181,HLOOKUP(INDIRECT(ADDRESS(2,COLUMN())),OFFSET($BN$2,0,0,ROW()-1,60),ROW()-1,FALSE))</f>
        <v>26475.855</v>
      </c>
      <c r="BF40">
        <f ca="1">IF(AND(ISNUMBER($BF$181),$B$145=1),$BF$181,HLOOKUP(INDIRECT(ADDRESS(2,COLUMN())),OFFSET($BN$2,0,0,ROW()-1,60),ROW()-1,FALSE))</f>
        <v>23770.087</v>
      </c>
      <c r="BG40">
        <f ca="1">IF(AND(ISNUMBER($BG$181),$B$145=1),$BG$181,HLOOKUP(INDIRECT(ADDRESS(2,COLUMN())),OFFSET($BN$2,0,0,ROW()-1,60),ROW()-1,FALSE))</f>
        <v>23892.232</v>
      </c>
      <c r="BH40">
        <f ca="1">IF(AND(ISNUMBER($BH$181),$B$145=1),$BH$181,HLOOKUP(INDIRECT(ADDRESS(2,COLUMN())),OFFSET($BN$2,0,0,ROW()-1,60),ROW()-1,FALSE))</f>
        <v>23027.571</v>
      </c>
      <c r="BI40">
        <f ca="1">IF(AND(ISNUMBER($BI$181),$B$145=1),$BI$181,HLOOKUP(INDIRECT(ADDRESS(2,COLUMN())),OFFSET($BN$2,0,0,ROW()-1,60),ROW()-1,FALSE))</f>
        <v>23812.307000000001</v>
      </c>
      <c r="BJ40">
        <f ca="1">IF(AND(ISNUMBER($BJ$181),$B$145=1),$BJ$181,HLOOKUP(INDIRECT(ADDRESS(2,COLUMN())),OFFSET($BN$2,0,0,ROW()-1,60),ROW()-1,FALSE))</f>
        <v>22398.448</v>
      </c>
      <c r="BK40">
        <f ca="1">IF(AND(ISNUMBER($BK$181),$B$145=1),$BK$181,HLOOKUP(INDIRECT(ADDRESS(2,COLUMN())),OFFSET($BN$2,0,0,ROW()-1,60),ROW()-1,FALSE))</f>
        <v>22641.306</v>
      </c>
      <c r="BL40">
        <f ca="1">IF(AND(ISNUMBER($BL$181),$B$145=1),$BL$181,HLOOKUP(INDIRECT(ADDRESS(2,COLUMN())),OFFSET($BN$2,0,0,ROW()-1,60),ROW()-1,FALSE))</f>
        <v>23216.971000000001</v>
      </c>
      <c r="BM40">
        <f ca="1">IF(AND(ISNUMBER($BM$181),$B$145=1),$BM$181,HLOOKUP(INDIRECT(ADDRESS(2,COLUMN())),OFFSET($BN$2,0,0,ROW()-1,60),ROW()-1,FALSE))</f>
        <v>23254.156999999999</v>
      </c>
      <c r="BN40" t="str">
        <f>""</f>
        <v/>
      </c>
      <c r="BO40">
        <f>28698</f>
        <v>28698</v>
      </c>
      <c r="BP40">
        <f>28537</f>
        <v>28537</v>
      </c>
      <c r="BQ40">
        <f>27881</f>
        <v>27881</v>
      </c>
      <c r="BR40">
        <f>28104</f>
        <v>28104</v>
      </c>
      <c r="BS40">
        <f>26228</f>
        <v>26228</v>
      </c>
      <c r="BT40">
        <f>27296</f>
        <v>27296</v>
      </c>
      <c r="BU40">
        <f>28230</f>
        <v>28230</v>
      </c>
      <c r="BV40">
        <f>27933</f>
        <v>27933</v>
      </c>
      <c r="BW40">
        <f>28126</f>
        <v>28126</v>
      </c>
      <c r="BX40">
        <f>29052</f>
        <v>29052</v>
      </c>
      <c r="BY40">
        <f>29384</f>
        <v>29384</v>
      </c>
      <c r="BZ40">
        <f>28481</f>
        <v>28481</v>
      </c>
      <c r="CA40">
        <f>28986</f>
        <v>28986</v>
      </c>
      <c r="CB40">
        <f>29290</f>
        <v>29290</v>
      </c>
      <c r="CC40">
        <f>27091</f>
        <v>27091</v>
      </c>
      <c r="CD40">
        <f>27154</f>
        <v>27154</v>
      </c>
      <c r="CE40">
        <f>27007</f>
        <v>27007</v>
      </c>
      <c r="CF40">
        <f>23898</f>
        <v>23898</v>
      </c>
      <c r="CG40">
        <f>23775</f>
        <v>23775</v>
      </c>
      <c r="CH40">
        <f>22606</f>
        <v>22606</v>
      </c>
      <c r="CI40">
        <f>22986</f>
        <v>22986</v>
      </c>
      <c r="CJ40">
        <f>22699</f>
        <v>22699</v>
      </c>
      <c r="CK40">
        <f>23786</f>
        <v>23786</v>
      </c>
      <c r="CL40">
        <f>22729.215</f>
        <v>22729.215</v>
      </c>
      <c r="CM40">
        <f>22670.541</f>
        <v>22670.541000000001</v>
      </c>
      <c r="CN40">
        <f>22934.582</f>
        <v>22934.581999999999</v>
      </c>
      <c r="CO40">
        <f>23084.874</f>
        <v>23084.874</v>
      </c>
      <c r="CP40">
        <f>23628.285</f>
        <v>23628.285</v>
      </c>
      <c r="CQ40">
        <f>23659.108</f>
        <v>23659.108</v>
      </c>
      <c r="CR40">
        <f>23607.451</f>
        <v>23607.451000000001</v>
      </c>
      <c r="CS40">
        <f>23520.602</f>
        <v>23520.601999999999</v>
      </c>
      <c r="CT40">
        <f>23781.337</f>
        <v>23781.337</v>
      </c>
      <c r="CU40">
        <f>23859.106</f>
        <v>23859.106</v>
      </c>
      <c r="CV40">
        <f>23493.513</f>
        <v>23493.512999999999</v>
      </c>
      <c r="CW40">
        <f>23095.208</f>
        <v>23095.207999999999</v>
      </c>
      <c r="CX40">
        <f>22710.134</f>
        <v>22710.133999999998</v>
      </c>
      <c r="CY40">
        <f>22033.95</f>
        <v>22033.95</v>
      </c>
      <c r="CZ40">
        <f>22044.691</f>
        <v>22044.690999999999</v>
      </c>
      <c r="DA40">
        <f>22375.047</f>
        <v>22375.046999999999</v>
      </c>
      <c r="DB40">
        <f>22052.868</f>
        <v>22052.867999999999</v>
      </c>
      <c r="DC40">
        <f>21884.885</f>
        <v>21884.884999999998</v>
      </c>
      <c r="DD40">
        <f>21469.497</f>
        <v>21469.496999999999</v>
      </c>
      <c r="DE40">
        <f>21108.322</f>
        <v>21108.322</v>
      </c>
      <c r="DF40">
        <f>20946.532</f>
        <v>20946.531999999999</v>
      </c>
      <c r="DG40">
        <f>21067.976</f>
        <v>21067.975999999999</v>
      </c>
      <c r="DH40">
        <f>21393.337</f>
        <v>21393.337</v>
      </c>
      <c r="DI40">
        <f>26537.907</f>
        <v>26537.906999999999</v>
      </c>
      <c r="DJ40">
        <f>26686.77</f>
        <v>26686.77</v>
      </c>
      <c r="DK40">
        <f>27022.957</f>
        <v>27022.956999999999</v>
      </c>
      <c r="DL40">
        <f>26617.105</f>
        <v>26617.105</v>
      </c>
      <c r="DM40">
        <f>26475.855</f>
        <v>26475.855</v>
      </c>
      <c r="DN40">
        <f>23770.087</f>
        <v>23770.087</v>
      </c>
      <c r="DO40">
        <f>23892.232</f>
        <v>23892.232</v>
      </c>
      <c r="DP40">
        <f>23027.571</f>
        <v>23027.571</v>
      </c>
      <c r="DQ40">
        <f>23812.307</f>
        <v>23812.307000000001</v>
      </c>
      <c r="DR40">
        <f>22398.448</f>
        <v>22398.448</v>
      </c>
      <c r="DS40">
        <f>22641.306</f>
        <v>22641.306</v>
      </c>
      <c r="DT40">
        <f>23216.971</f>
        <v>23216.971000000001</v>
      </c>
      <c r="DU40">
        <f>23254.157</f>
        <v>23254.156999999999</v>
      </c>
    </row>
    <row r="41" spans="1:125" x14ac:dyDescent="0.25">
      <c r="A41" t="str">
        <f>"                Truist Financial Corp"</f>
        <v xml:space="preserve">                Truist Financial Corp</v>
      </c>
      <c r="B41" t="str">
        <f>"TFC US Equity"</f>
        <v>TFC US Equity</v>
      </c>
      <c r="C41" t="str">
        <f t="shared" si="3"/>
        <v>FC471</v>
      </c>
      <c r="D41" t="str">
        <f t="shared" si="4"/>
        <v>FDIC_SECS_AVAIL_FOR_SALE_MKT_VAL</v>
      </c>
      <c r="E41" t="str">
        <f t="shared" si="5"/>
        <v>Dynamic</v>
      </c>
      <c r="F41">
        <f ca="1">IF(AND(ISNUMBER($F$182),$B$145=1),$F$182,HLOOKUP(INDIRECT(ADDRESS(2,COLUMN())),OFFSET($BN$2,0,0,ROW()-1,60),ROW()-1,FALSE))</f>
        <v>67464</v>
      </c>
      <c r="G41">
        <f ca="1">IF(AND(ISNUMBER($G$182),$B$145=1),$G$182,HLOOKUP(INDIRECT(ADDRESS(2,COLUMN())),OFFSET($BN$2,0,0,ROW()-1,60),ROW()-1,FALSE))</f>
        <v>64111</v>
      </c>
      <c r="H41">
        <f ca="1">IF(AND(ISNUMBER($H$182),$B$145=1),$H$182,HLOOKUP(INDIRECT(ADDRESS(2,COLUMN())),OFFSET($BN$2,0,0,ROW()-1,60),ROW()-1,FALSE))</f>
        <v>55969</v>
      </c>
      <c r="I41">
        <f ca="1">IF(AND(ISNUMBER($I$182),$B$145=1),$I$182,HLOOKUP(INDIRECT(ADDRESS(2,COLUMN())),OFFSET($BN$2,0,0,ROW()-1,60),ROW()-1,FALSE))</f>
        <v>66050</v>
      </c>
      <c r="J41">
        <f ca="1">IF(AND(ISNUMBER($J$182),$B$145=1),$J$182,HLOOKUP(INDIRECT(ADDRESS(2,COLUMN())),OFFSET($BN$2,0,0,ROW()-1,60),ROW()-1,FALSE))</f>
        <v>67366</v>
      </c>
      <c r="K41">
        <f ca="1">IF(AND(ISNUMBER($K$182),$B$145=1),$K$182,HLOOKUP(INDIRECT(ADDRESS(2,COLUMN())),OFFSET($BN$2,0,0,ROW()-1,60),ROW()-1,FALSE))</f>
        <v>65117</v>
      </c>
      <c r="L41">
        <f ca="1">IF(AND(ISNUMBER($L$182),$B$145=1),$L$182,HLOOKUP(INDIRECT(ADDRESS(2,COLUMN())),OFFSET($BN$2,0,0,ROW()-1,60),ROW()-1,FALSE))</f>
        <v>68965</v>
      </c>
      <c r="M41">
        <f ca="1">IF(AND(ISNUMBER($M$182),$B$145=1),$M$182,HLOOKUP(INDIRECT(ADDRESS(2,COLUMN())),OFFSET($BN$2,0,0,ROW()-1,60),ROW()-1,FALSE))</f>
        <v>71858</v>
      </c>
      <c r="N41">
        <f ca="1">IF(AND(ISNUMBER($N$182),$B$145=1),$N$182,HLOOKUP(INDIRECT(ADDRESS(2,COLUMN())),OFFSET($BN$2,0,0,ROW()-1,60),ROW()-1,FALSE))</f>
        <v>71801</v>
      </c>
      <c r="O41">
        <f ca="1">IF(AND(ISNUMBER($O$182),$B$145=1),$O$182,HLOOKUP(INDIRECT(ADDRESS(2,COLUMN())),OFFSET($BN$2,0,0,ROW()-1,60),ROW()-1,FALSE))</f>
        <v>72978</v>
      </c>
      <c r="P41">
        <f ca="1">IF(AND(ISNUMBER($P$182),$B$145=1),$P$182,HLOOKUP(INDIRECT(ADDRESS(2,COLUMN())),OFFSET($BN$2,0,0,ROW()-1,60),ROW()-1,FALSE))</f>
        <v>79278</v>
      </c>
      <c r="Q41">
        <f ca="1">IF(AND(ISNUMBER($Q$182),$B$145=1),$Q$182,HLOOKUP(INDIRECT(ADDRESS(2,COLUMN())),OFFSET($BN$2,0,0,ROW()-1,60),ROW()-1,FALSE))</f>
        <v>84753</v>
      </c>
      <c r="R41">
        <f ca="1">IF(AND(ISNUMBER($R$182),$B$145=1),$R$182,HLOOKUP(INDIRECT(ADDRESS(2,COLUMN())),OFFSET($BN$2,0,0,ROW()-1,60),ROW()-1,FALSE))</f>
        <v>153123</v>
      </c>
      <c r="S41">
        <f ca="1">IF(AND(ISNUMBER($S$182),$B$145=1),$S$182,HLOOKUP(INDIRECT(ADDRESS(2,COLUMN())),OFFSET($BN$2,0,0,ROW()-1,60),ROW()-1,FALSE))</f>
        <v>151038</v>
      </c>
      <c r="T41">
        <f ca="1">IF(AND(ISNUMBER($T$182),$B$145=1),$T$182,HLOOKUP(INDIRECT(ADDRESS(2,COLUMN())),OFFSET($BN$2,0,0,ROW()-1,60),ROW()-1,FALSE))</f>
        <v>139879</v>
      </c>
      <c r="U41">
        <f ca="1">IF(AND(ISNUMBER($U$182),$B$145=1),$U$182,HLOOKUP(INDIRECT(ADDRESS(2,COLUMN())),OFFSET($BN$2,0,0,ROW()-1,60),ROW()-1,FALSE))</f>
        <v>123807</v>
      </c>
      <c r="V41">
        <f ca="1">IF(AND(ISNUMBER($V$182),$B$145=1),$V$182,HLOOKUP(INDIRECT(ADDRESS(2,COLUMN())),OFFSET($BN$2,0,0,ROW()-1,60),ROW()-1,FALSE))</f>
        <v>120788</v>
      </c>
      <c r="W41">
        <f ca="1">IF(AND(ISNUMBER($W$182),$B$145=1),$W$182,HLOOKUP(INDIRECT(ADDRESS(2,COLUMN())),OFFSET($BN$2,0,0,ROW()-1,60),ROW()-1,FALSE))</f>
        <v>86132</v>
      </c>
      <c r="X41">
        <f ca="1">IF(AND(ISNUMBER($X$182),$B$145=1),$X$182,HLOOKUP(INDIRECT(ADDRESS(2,COLUMN())),OFFSET($BN$2,0,0,ROW()-1,60),ROW()-1,FALSE))</f>
        <v>77805</v>
      </c>
      <c r="Y41">
        <f ca="1">IF(AND(ISNUMBER($Y$182),$B$145=1),$Y$182,HLOOKUP(INDIRECT(ADDRESS(2,COLUMN())),OFFSET($BN$2,0,0,ROW()-1,60),ROW()-1,FALSE))</f>
        <v>78398</v>
      </c>
      <c r="Z41">
        <f ca="1">IF(AND(ISNUMBER($Z$182),$B$145=1),$Z$182,HLOOKUP(INDIRECT(ADDRESS(2,COLUMN())),OFFSET($BN$2,0,0,ROW()-1,60),ROW()-1,FALSE))</f>
        <v>74727</v>
      </c>
      <c r="AA41">
        <f ca="1">IF(AND(ISNUMBER($AA$182),$B$145=1),$AA$182,HLOOKUP(INDIRECT(ADDRESS(2,COLUMN())),OFFSET($BN$2,0,0,ROW()-1,60),ROW()-1,FALSE))</f>
        <v>35997</v>
      </c>
      <c r="AB41">
        <f ca="1">IF(AND(ISNUMBER($AB$182),$B$145=1),$AB$182,HLOOKUP(INDIRECT(ADDRESS(2,COLUMN())),OFFSET($BN$2,0,0,ROW()-1,60),ROW()-1,FALSE))</f>
        <v>25802</v>
      </c>
      <c r="AC41">
        <f ca="1">IF(AND(ISNUMBER($AC$182),$B$145=1),$AC$182,HLOOKUP(INDIRECT(ADDRESS(2,COLUMN())),OFFSET($BN$2,0,0,ROW()-1,60),ROW()-1,FALSE))</f>
        <v>26315</v>
      </c>
      <c r="AD41">
        <f ca="1">IF(AND(ISNUMBER($AD$182),$B$145=1),$AD$182,HLOOKUP(INDIRECT(ADDRESS(2,COLUMN())),OFFSET($BN$2,0,0,ROW()-1,60),ROW()-1,FALSE))</f>
        <v>25038</v>
      </c>
      <c r="AE41">
        <f ca="1">IF(AND(ISNUMBER($AE$182),$B$145=1),$AE$182,HLOOKUP(INDIRECT(ADDRESS(2,COLUMN())),OFFSET($BN$2,0,0,ROW()-1,60),ROW()-1,FALSE))</f>
        <v>24286</v>
      </c>
      <c r="AF41">
        <f ca="1">IF(AND(ISNUMBER($AF$182),$B$145=1),$AF$182,HLOOKUP(INDIRECT(ADDRESS(2,COLUMN())),OFFSET($BN$2,0,0,ROW()-1,60),ROW()-1,FALSE))</f>
        <v>23919</v>
      </c>
      <c r="AG41">
        <f ca="1">IF(AND(ISNUMBER($AG$182),$B$145=1),$AG$182,HLOOKUP(INDIRECT(ADDRESS(2,COLUMN())),OFFSET($BN$2,0,0,ROW()-1,60),ROW()-1,FALSE))</f>
        <v>25017</v>
      </c>
      <c r="AH41">
        <f ca="1">IF(AND(ISNUMBER($AH$182),$B$145=1),$AH$182,HLOOKUP(INDIRECT(ADDRESS(2,COLUMN())),OFFSET($BN$2,0,0,ROW()-1,60),ROW()-1,FALSE))</f>
        <v>24547</v>
      </c>
      <c r="AI41">
        <f ca="1">IF(AND(ISNUMBER($AI$182),$B$145=1),$AI$182,HLOOKUP(INDIRECT(ADDRESS(2,COLUMN())),OFFSET($BN$2,0,0,ROW()-1,60),ROW()-1,FALSE))</f>
        <v>23184</v>
      </c>
      <c r="AJ41">
        <f ca="1">IF(AND(ISNUMBER($AJ$182),$B$145=1),$AJ$182,HLOOKUP(INDIRECT(ADDRESS(2,COLUMN())),OFFSET($BN$2,0,0,ROW()-1,60),ROW()-1,FALSE))</f>
        <v>26899</v>
      </c>
      <c r="AK41">
        <f ca="1">IF(AND(ISNUMBER($AK$182),$B$145=1),$AK$182,HLOOKUP(INDIRECT(ADDRESS(2,COLUMN())),OFFSET($BN$2,0,0,ROW()-1,60),ROW()-1,FALSE))</f>
        <v>26667.681</v>
      </c>
      <c r="AL41">
        <f ca="1">IF(AND(ISNUMBER($AL$182),$B$145=1),$AL$182,HLOOKUP(INDIRECT(ADDRESS(2,COLUMN())),OFFSET($BN$2,0,0,ROW()-1,60),ROW()-1,FALSE))</f>
        <v>26925.701000000001</v>
      </c>
      <c r="AM41">
        <f ca="1">IF(AND(ISNUMBER($AM$182),$B$145=1),$AM$182,HLOOKUP(INDIRECT(ADDRESS(2,COLUMN())),OFFSET($BN$2,0,0,ROW()-1,60),ROW()-1,FALSE))</f>
        <v>29448.832999999999</v>
      </c>
      <c r="AN41">
        <f ca="1">IF(AND(ISNUMBER($AN$182),$B$145=1),$AN$182,HLOOKUP(INDIRECT(ADDRESS(2,COLUMN())),OFFSET($BN$2,0,0,ROW()-1,60),ROW()-1,FALSE))</f>
        <v>28243.617999999999</v>
      </c>
      <c r="AO41">
        <f ca="1">IF(AND(ISNUMBER($AO$182),$B$145=1),$AO$182,HLOOKUP(INDIRECT(ADDRESS(2,COLUMN())),OFFSET($BN$2,0,0,ROW()-1,60),ROW()-1,FALSE))</f>
        <v>27129.023000000001</v>
      </c>
      <c r="AP41">
        <f ca="1">IF(AND(ISNUMBER($AP$182),$B$145=1),$AP$182,HLOOKUP(INDIRECT(ADDRESS(2,COLUMN())),OFFSET($BN$2,0,0,ROW()-1,60),ROW()-1,FALSE))</f>
        <v>25297.185000000001</v>
      </c>
      <c r="AQ41">
        <f ca="1">IF(AND(ISNUMBER($AQ$182),$B$145=1),$AQ$182,HLOOKUP(INDIRECT(ADDRESS(2,COLUMN())),OFFSET($BN$2,0,0,ROW()-1,60),ROW()-1,FALSE))</f>
        <v>24249.216</v>
      </c>
      <c r="AR41">
        <f ca="1">IF(AND(ISNUMBER($AR$182),$B$145=1),$AR$182,HLOOKUP(INDIRECT(ADDRESS(2,COLUMN())),OFFSET($BN$2,0,0,ROW()-1,60),ROW()-1,FALSE))</f>
        <v>21183.437999999998</v>
      </c>
      <c r="AS41">
        <f ca="1">IF(AND(ISNUMBER($AS$182),$B$145=1),$AS$182,HLOOKUP(INDIRECT(ADDRESS(2,COLUMN())),OFFSET($BN$2,0,0,ROW()-1,60),ROW()-1,FALSE))</f>
        <v>21674.491999999998</v>
      </c>
      <c r="AT41">
        <f ca="1">IF(AND(ISNUMBER($AT$182),$B$145=1),$AT$182,HLOOKUP(INDIRECT(ADDRESS(2,COLUMN())),OFFSET($BN$2,0,0,ROW()-1,60),ROW()-1,FALSE))</f>
        <v>20907.064999999999</v>
      </c>
      <c r="AU41">
        <f ca="1">IF(AND(ISNUMBER($AU$182),$B$145=1),$AU$182,HLOOKUP(INDIRECT(ADDRESS(2,COLUMN())),OFFSET($BN$2,0,0,ROW()-1,60),ROW()-1,FALSE))</f>
        <v>21174.350999999999</v>
      </c>
      <c r="AV41">
        <f ca="1">IF(AND(ISNUMBER($AV$182),$B$145=1),$AV$182,HLOOKUP(INDIRECT(ADDRESS(2,COLUMN())),OFFSET($BN$2,0,0,ROW()-1,60),ROW()-1,FALSE))</f>
        <v>20936.341</v>
      </c>
      <c r="AW41">
        <f ca="1">IF(AND(ISNUMBER($AW$182),$B$145=1),$AW$182,HLOOKUP(INDIRECT(ADDRESS(2,COLUMN())),OFFSET($BN$2,0,0,ROW()-1,60),ROW()-1,FALSE))</f>
        <v>20496.466</v>
      </c>
      <c r="AX41">
        <f ca="1">IF(AND(ISNUMBER($AX$182),$B$145=1),$AX$182,HLOOKUP(INDIRECT(ADDRESS(2,COLUMN())),OFFSET($BN$2,0,0,ROW()-1,60),ROW()-1,FALSE))</f>
        <v>22104.164000000001</v>
      </c>
      <c r="AY41">
        <f ca="1">IF(AND(ISNUMBER($AY$182),$B$145=1),$AY$182,HLOOKUP(INDIRECT(ADDRESS(2,COLUMN())),OFFSET($BN$2,0,0,ROW()-1,60),ROW()-1,FALSE))</f>
        <v>22864.437999999998</v>
      </c>
      <c r="AZ41">
        <f ca="1">IF(AND(ISNUMBER($AZ$182),$B$145=1),$AZ$182,HLOOKUP(INDIRECT(ADDRESS(2,COLUMN())),OFFSET($BN$2,0,0,ROW()-1,60),ROW()-1,FALSE))</f>
        <v>24477.002</v>
      </c>
      <c r="BA41">
        <f ca="1">IF(AND(ISNUMBER($BA$182),$B$145=1),$BA$182,HLOOKUP(INDIRECT(ADDRESS(2,COLUMN())),OFFSET($BN$2,0,0,ROW()-1,60),ROW()-1,FALSE))</f>
        <v>24169.901000000002</v>
      </c>
      <c r="BB41">
        <f ca="1">IF(AND(ISNUMBER($BB$182),$B$145=1),$BB$182,HLOOKUP(INDIRECT(ADDRESS(2,COLUMN())),OFFSET($BN$2,0,0,ROW()-1,60),ROW()-1,FALSE))</f>
        <v>25137.420999999998</v>
      </c>
      <c r="BC41">
        <f ca="1">IF(AND(ISNUMBER($BC$182),$B$145=1),$BC$182,HLOOKUP(INDIRECT(ADDRESS(2,COLUMN())),OFFSET($BN$2,0,0,ROW()-1,60),ROW()-1,FALSE))</f>
        <v>24098.17</v>
      </c>
      <c r="BD41">
        <f ca="1">IF(AND(ISNUMBER($BD$182),$B$145=1),$BD$182,HLOOKUP(INDIRECT(ADDRESS(2,COLUMN())),OFFSET($BN$2,0,0,ROW()-1,60),ROW()-1,FALSE))</f>
        <v>25066.716</v>
      </c>
      <c r="BE41">
        <f ca="1">IF(AND(ISNUMBER($BE$182),$B$145=1),$BE$182,HLOOKUP(INDIRECT(ADDRESS(2,COLUMN())),OFFSET($BN$2,0,0,ROW()-1,60),ROW()-1,FALSE))</f>
        <v>24380.262999999999</v>
      </c>
      <c r="BF41">
        <f ca="1">IF(AND(ISNUMBER($BF$182),$B$145=1),$BF$182,HLOOKUP(INDIRECT(ADDRESS(2,COLUMN())),OFFSET($BN$2,0,0,ROW()-1,60),ROW()-1,FALSE))</f>
        <v>22313.653999999999</v>
      </c>
      <c r="BG41">
        <f ca="1">IF(AND(ISNUMBER($BG$182),$B$145=1),$BG$182,HLOOKUP(INDIRECT(ADDRESS(2,COLUMN())),OFFSET($BN$2,0,0,ROW()-1,60),ROW()-1,FALSE))</f>
        <v>24649.133000000002</v>
      </c>
      <c r="BH41">
        <f ca="1">IF(AND(ISNUMBER($BH$182),$B$145=1),$BH$182,HLOOKUP(INDIRECT(ADDRESS(2,COLUMN())),OFFSET($BN$2,0,0,ROW()-1,60),ROW()-1,FALSE))</f>
        <v>19408.678</v>
      </c>
      <c r="BI41">
        <f ca="1">IF(AND(ISNUMBER($BI$182),$B$145=1),$BI$182,HLOOKUP(INDIRECT(ADDRESS(2,COLUMN())),OFFSET($BN$2,0,0,ROW()-1,60),ROW()-1,FALSE))</f>
        <v>17886.592000000001</v>
      </c>
      <c r="BJ41">
        <f ca="1">IF(AND(ISNUMBER($BJ$182),$B$145=1),$BJ$182,HLOOKUP(INDIRECT(ADDRESS(2,COLUMN())),OFFSET($BN$2,0,0,ROW()-1,60),ROW()-1,FALSE))</f>
        <v>23169.776999999998</v>
      </c>
      <c r="BK41">
        <f ca="1">IF(AND(ISNUMBER($BK$182),$B$145=1),$BK$182,HLOOKUP(INDIRECT(ADDRESS(2,COLUMN())),OFFSET($BN$2,0,0,ROW()-1,60),ROW()-1,FALSE))</f>
        <v>24496.758999999998</v>
      </c>
      <c r="BL41">
        <f ca="1">IF(AND(ISNUMBER($BL$182),$B$145=1),$BL$182,HLOOKUP(INDIRECT(ADDRESS(2,COLUMN())),OFFSET($BN$2,0,0,ROW()-1,60),ROW()-1,FALSE))</f>
        <v>23661.855</v>
      </c>
      <c r="BM41" t="str">
        <f ca="1">IF(AND(ISNUMBER($BM$182),$B$145=1),$BM$182,HLOOKUP(INDIRECT(ADDRESS(2,COLUMN())),OFFSET($BN$2,0,0,ROW()-1,60),ROW()-1,FALSE))</f>
        <v/>
      </c>
      <c r="BN41">
        <f>67464</f>
        <v>67464</v>
      </c>
      <c r="BO41">
        <f>64111</f>
        <v>64111</v>
      </c>
      <c r="BP41">
        <f>55969</f>
        <v>55969</v>
      </c>
      <c r="BQ41">
        <f>66050</f>
        <v>66050</v>
      </c>
      <c r="BR41">
        <f>67366</f>
        <v>67366</v>
      </c>
      <c r="BS41">
        <f>65117</f>
        <v>65117</v>
      </c>
      <c r="BT41">
        <f>68965</f>
        <v>68965</v>
      </c>
      <c r="BU41">
        <f>71858</f>
        <v>71858</v>
      </c>
      <c r="BV41">
        <f>71801</f>
        <v>71801</v>
      </c>
      <c r="BW41">
        <f>72978</f>
        <v>72978</v>
      </c>
      <c r="BX41">
        <f>79278</f>
        <v>79278</v>
      </c>
      <c r="BY41">
        <f>84753</f>
        <v>84753</v>
      </c>
      <c r="BZ41">
        <f>153123</f>
        <v>153123</v>
      </c>
      <c r="CA41">
        <f>151038</f>
        <v>151038</v>
      </c>
      <c r="CB41">
        <f>139879</f>
        <v>139879</v>
      </c>
      <c r="CC41">
        <f>123807</f>
        <v>123807</v>
      </c>
      <c r="CD41">
        <f>120788</f>
        <v>120788</v>
      </c>
      <c r="CE41">
        <f>86132</f>
        <v>86132</v>
      </c>
      <c r="CF41">
        <f>77805</f>
        <v>77805</v>
      </c>
      <c r="CG41">
        <f>78398</f>
        <v>78398</v>
      </c>
      <c r="CH41">
        <f>74727</f>
        <v>74727</v>
      </c>
      <c r="CI41">
        <f>35997</f>
        <v>35997</v>
      </c>
      <c r="CJ41">
        <f>25802</f>
        <v>25802</v>
      </c>
      <c r="CK41">
        <f>26315</f>
        <v>26315</v>
      </c>
      <c r="CL41">
        <f>25038</f>
        <v>25038</v>
      </c>
      <c r="CM41">
        <f>24286</f>
        <v>24286</v>
      </c>
      <c r="CN41">
        <f>23919</f>
        <v>23919</v>
      </c>
      <c r="CO41">
        <f>25017</f>
        <v>25017</v>
      </c>
      <c r="CP41">
        <f>24547</f>
        <v>24547</v>
      </c>
      <c r="CQ41">
        <f>23184</f>
        <v>23184</v>
      </c>
      <c r="CR41">
        <f>26899</f>
        <v>26899</v>
      </c>
      <c r="CS41">
        <f>26667.681</f>
        <v>26667.681</v>
      </c>
      <c r="CT41">
        <f>26925.701</f>
        <v>26925.701000000001</v>
      </c>
      <c r="CU41">
        <f>29448.833</f>
        <v>29448.832999999999</v>
      </c>
      <c r="CV41">
        <f>28243.618</f>
        <v>28243.617999999999</v>
      </c>
      <c r="CW41">
        <f>27129.023</f>
        <v>27129.023000000001</v>
      </c>
      <c r="CX41">
        <f>25297.185</f>
        <v>25297.185000000001</v>
      </c>
      <c r="CY41">
        <f>24249.216</f>
        <v>24249.216</v>
      </c>
      <c r="CZ41">
        <f>21183.438</f>
        <v>21183.437999999998</v>
      </c>
      <c r="DA41">
        <f>21674.492</f>
        <v>21674.491999999998</v>
      </c>
      <c r="DB41">
        <f>20907.065</f>
        <v>20907.064999999999</v>
      </c>
      <c r="DC41">
        <f>21174.351</f>
        <v>21174.350999999999</v>
      </c>
      <c r="DD41">
        <f>20936.341</f>
        <v>20936.341</v>
      </c>
      <c r="DE41">
        <f>20496.466</f>
        <v>20496.466</v>
      </c>
      <c r="DF41">
        <f>22104.164</f>
        <v>22104.164000000001</v>
      </c>
      <c r="DG41">
        <f>22864.438</f>
        <v>22864.437999999998</v>
      </c>
      <c r="DH41">
        <f>24477.002</f>
        <v>24477.002</v>
      </c>
      <c r="DI41">
        <f>24169.901</f>
        <v>24169.901000000002</v>
      </c>
      <c r="DJ41">
        <f>25137.421</f>
        <v>25137.420999999998</v>
      </c>
      <c r="DK41">
        <f>24098.17</f>
        <v>24098.17</v>
      </c>
      <c r="DL41">
        <f>25066.716</f>
        <v>25066.716</v>
      </c>
      <c r="DM41">
        <f>24380.263</f>
        <v>24380.262999999999</v>
      </c>
      <c r="DN41">
        <f>22313.654</f>
        <v>22313.653999999999</v>
      </c>
      <c r="DO41">
        <f>24649.133</f>
        <v>24649.133000000002</v>
      </c>
      <c r="DP41">
        <f>19408.678</f>
        <v>19408.678</v>
      </c>
      <c r="DQ41">
        <f>17886.592</f>
        <v>17886.592000000001</v>
      </c>
      <c r="DR41">
        <f>23169.777</f>
        <v>23169.776999999998</v>
      </c>
      <c r="DS41">
        <f>24496.759</f>
        <v>24496.758999999998</v>
      </c>
      <c r="DT41">
        <f>23661.855</f>
        <v>23661.855</v>
      </c>
      <c r="DU41" t="str">
        <f>""</f>
        <v/>
      </c>
    </row>
    <row r="42" spans="1:125" x14ac:dyDescent="0.25">
      <c r="A42" t="str">
        <f>"                US Bancorp"</f>
        <v xml:space="preserve">                US Bancorp</v>
      </c>
      <c r="B42" t="str">
        <f>"USB US Equity"</f>
        <v>USB US Equity</v>
      </c>
      <c r="C42" t="str">
        <f t="shared" si="3"/>
        <v>FC471</v>
      </c>
      <c r="D42" t="str">
        <f t="shared" si="4"/>
        <v>FDIC_SECS_AVAIL_FOR_SALE_MKT_VAL</v>
      </c>
      <c r="E42" t="str">
        <f t="shared" si="5"/>
        <v>Dynamic</v>
      </c>
      <c r="F42">
        <f ca="1">IF(AND(ISNUMBER($F$183),$B$145=1),$F$183,HLOOKUP(INDIRECT(ADDRESS(2,COLUMN())),OFFSET($BN$2,0,0,ROW()-1,60),ROW()-1,FALSE))</f>
        <v>85992</v>
      </c>
      <c r="G42">
        <f ca="1">IF(AND(ISNUMBER($G$183),$B$145=1),$G$183,HLOOKUP(INDIRECT(ADDRESS(2,COLUMN())),OFFSET($BN$2,0,0,ROW()-1,60),ROW()-1,FALSE))</f>
        <v>81704</v>
      </c>
      <c r="H42">
        <f ca="1">IF(AND(ISNUMBER($H$183),$B$145=1),$H$183,HLOOKUP(INDIRECT(ADDRESS(2,COLUMN())),OFFSET($BN$2,0,0,ROW()-1,60),ROW()-1,FALSE))</f>
        <v>79799</v>
      </c>
      <c r="I42">
        <f ca="1">IF(AND(ISNUMBER($I$183),$B$145=1),$I$183,HLOOKUP(INDIRECT(ADDRESS(2,COLUMN())),OFFSET($BN$2,0,0,ROW()-1,60),ROW()-1,FALSE))</f>
        <v>72426</v>
      </c>
      <c r="J42">
        <f ca="1">IF(AND(ISNUMBER($J$183),$B$145=1),$J$183,HLOOKUP(INDIRECT(ADDRESS(2,COLUMN())),OFFSET($BN$2,0,0,ROW()-1,60),ROW()-1,FALSE))</f>
        <v>69706</v>
      </c>
      <c r="K42">
        <f ca="1">IF(AND(ISNUMBER($K$183),$B$145=1),$K$183,HLOOKUP(INDIRECT(ADDRESS(2,COLUMN())),OFFSET($BN$2,0,0,ROW()-1,60),ROW()-1,FALSE))</f>
        <v>67207</v>
      </c>
      <c r="L42">
        <f ca="1">IF(AND(ISNUMBER($L$183),$B$145=1),$L$183,HLOOKUP(INDIRECT(ADDRESS(2,COLUMN())),OFFSET($BN$2,0,0,ROW()-1,60),ROW()-1,FALSE))</f>
        <v>69221</v>
      </c>
      <c r="M42">
        <f ca="1">IF(AND(ISNUMBER($M$183),$B$145=1),$M$183,HLOOKUP(INDIRECT(ADDRESS(2,COLUMN())),OFFSET($BN$2,0,0,ROW()-1,60),ROW()-1,FALSE))</f>
        <v>65491</v>
      </c>
      <c r="N42">
        <f ca="1">IF(AND(ISNUMBER($N$183),$B$145=1),$N$183,HLOOKUP(INDIRECT(ADDRESS(2,COLUMN())),OFFSET($BN$2,0,0,ROW()-1,60),ROW()-1,FALSE))</f>
        <v>72910</v>
      </c>
      <c r="O42">
        <f ca="1">IF(AND(ISNUMBER($O$183),$B$145=1),$O$183,HLOOKUP(INDIRECT(ADDRESS(2,COLUMN())),OFFSET($BN$2,0,0,ROW()-1,60),ROW()-1,FALSE))</f>
        <v>68523</v>
      </c>
      <c r="P42">
        <f ca="1">IF(AND(ISNUMBER($P$183),$B$145=1),$P$183,HLOOKUP(INDIRECT(ADDRESS(2,COLUMN())),OFFSET($BN$2,0,0,ROW()-1,60),ROW()-1,FALSE))</f>
        <v>98806</v>
      </c>
      <c r="Q42">
        <f ca="1">IF(AND(ISNUMBER($Q$183),$B$145=1),$Q$183,HLOOKUP(INDIRECT(ADDRESS(2,COLUMN())),OFFSET($BN$2,0,0,ROW()-1,60),ROW()-1,FALSE))</f>
        <v>123593</v>
      </c>
      <c r="R42">
        <f ca="1">IF(AND(ISNUMBER($R$183),$B$145=1),$R$183,HLOOKUP(INDIRECT(ADDRESS(2,COLUMN())),OFFSET($BN$2,0,0,ROW()-1,60),ROW()-1,FALSE))</f>
        <v>132963</v>
      </c>
      <c r="S42">
        <f ca="1">IF(AND(ISNUMBER($S$183),$B$145=1),$S$183,HLOOKUP(INDIRECT(ADDRESS(2,COLUMN())),OFFSET($BN$2,0,0,ROW()-1,60),ROW()-1,FALSE))</f>
        <v>149376</v>
      </c>
      <c r="T42">
        <f ca="1">IF(AND(ISNUMBER($T$183),$B$145=1),$T$183,HLOOKUP(INDIRECT(ADDRESS(2,COLUMN())),OFFSET($BN$2,0,0,ROW()-1,60),ROW()-1,FALSE))</f>
        <v>160288</v>
      </c>
      <c r="U42">
        <f ca="1">IF(AND(ISNUMBER($U$183),$B$145=1),$U$183,HLOOKUP(INDIRECT(ADDRESS(2,COLUMN())),OFFSET($BN$2,0,0,ROW()-1,60),ROW()-1,FALSE))</f>
        <v>156003</v>
      </c>
      <c r="V42">
        <f ca="1">IF(AND(ISNUMBER($V$183),$B$145=1),$V$183,HLOOKUP(INDIRECT(ADDRESS(2,COLUMN())),OFFSET($BN$2,0,0,ROW()-1,60),ROW()-1,FALSE))</f>
        <v>136840</v>
      </c>
      <c r="W42">
        <f ca="1">IF(AND(ISNUMBER($W$183),$B$145=1),$W$183,HLOOKUP(INDIRECT(ADDRESS(2,COLUMN())),OFFSET($BN$2,0,0,ROW()-1,60),ROW()-1,FALSE))</f>
        <v>134032</v>
      </c>
      <c r="X42">
        <f ca="1">IF(AND(ISNUMBER($X$183),$B$145=1),$X$183,HLOOKUP(INDIRECT(ADDRESS(2,COLUMN())),OFFSET($BN$2,0,0,ROW()-1,60),ROW()-1,FALSE))</f>
        <v>128120</v>
      </c>
      <c r="Y42">
        <f ca="1">IF(AND(ISNUMBER($Y$183),$B$145=1),$Y$183,HLOOKUP(INDIRECT(ADDRESS(2,COLUMN())),OFFSET($BN$2,0,0,ROW()-1,60),ROW()-1,FALSE))</f>
        <v>123681</v>
      </c>
      <c r="Z42">
        <f ca="1">IF(AND(ISNUMBER($Z$183),$B$145=1),$Z$183,HLOOKUP(INDIRECT(ADDRESS(2,COLUMN())),OFFSET($BN$2,0,0,ROW()-1,60),ROW()-1,FALSE))</f>
        <v>122613</v>
      </c>
      <c r="AA42">
        <f ca="1">IF(AND(ISNUMBER($AA$183),$B$145=1),$AA$183,HLOOKUP(INDIRECT(ADDRESS(2,COLUMN())),OFFSET($BN$2,0,0,ROW()-1,60),ROW()-1,FALSE))</f>
        <v>74598</v>
      </c>
      <c r="AB42">
        <f ca="1">IF(AND(ISNUMBER($AB$183),$B$145=1),$AB$183,HLOOKUP(INDIRECT(ADDRESS(2,COLUMN())),OFFSET($BN$2,0,0,ROW()-1,60),ROW()-1,FALSE))</f>
        <v>69197</v>
      </c>
      <c r="AC42">
        <f ca="1">IF(AND(ISNUMBER($AC$183),$B$145=1),$AC$183,HLOOKUP(INDIRECT(ADDRESS(2,COLUMN())),OFFSET($BN$2,0,0,ROW()-1,60),ROW()-1,FALSE))</f>
        <v>68113</v>
      </c>
      <c r="AD42">
        <f ca="1">IF(AND(ISNUMBER($AD$183),$B$145=1),$AD$183,HLOOKUP(INDIRECT(ADDRESS(2,COLUMN())),OFFSET($BN$2,0,0,ROW()-1,60),ROW()-1,FALSE))</f>
        <v>66115</v>
      </c>
      <c r="AE42">
        <f ca="1">IF(AND(ISNUMBER($AE$183),$B$145=1),$AE$183,HLOOKUP(INDIRECT(ADDRESS(2,COLUMN())),OFFSET($BN$2,0,0,ROW()-1,60),ROW()-1,FALSE))</f>
        <v>64912</v>
      </c>
      <c r="AF42">
        <f ca="1">IF(AND(ISNUMBER($AF$183),$B$145=1),$AF$183,HLOOKUP(INDIRECT(ADDRESS(2,COLUMN())),OFFSET($BN$2,0,0,ROW()-1,60),ROW()-1,FALSE))</f>
        <v>66347</v>
      </c>
      <c r="AG42">
        <f ca="1">IF(AND(ISNUMBER($AG$183),$B$145=1),$AG$183,HLOOKUP(INDIRECT(ADDRESS(2,COLUMN())),OFFSET($BN$2,0,0,ROW()-1,60),ROW()-1,FALSE))</f>
        <v>67125</v>
      </c>
      <c r="AH42">
        <f ca="1">IF(AND(ISNUMBER($AH$183),$B$145=1),$AH$183,HLOOKUP(INDIRECT(ADDRESS(2,COLUMN())),OFFSET($BN$2,0,0,ROW()-1,60),ROW()-1,FALSE))</f>
        <v>68137</v>
      </c>
      <c r="AI42">
        <f ca="1">IF(AND(ISNUMBER($AI$183),$B$145=1),$AI$183,HLOOKUP(INDIRECT(ADDRESS(2,COLUMN())),OFFSET($BN$2,0,0,ROW()-1,60),ROW()-1,FALSE))</f>
        <v>67772</v>
      </c>
      <c r="AJ42">
        <f ca="1">IF(AND(ISNUMBER($AJ$183),$B$145=1),$AJ$183,HLOOKUP(INDIRECT(ADDRESS(2,COLUMN())),OFFSET($BN$2,0,0,ROW()-1,60),ROW()-1,FALSE))</f>
        <v>67455</v>
      </c>
      <c r="AK42">
        <f ca="1">IF(AND(ISNUMBER($AK$183),$B$145=1),$AK$183,HLOOKUP(INDIRECT(ADDRESS(2,COLUMN())),OFFSET($BN$2,0,0,ROW()-1,60),ROW()-1,FALSE))</f>
        <v>67031</v>
      </c>
      <c r="AL42">
        <f ca="1">IF(AND(ISNUMBER($AL$183),$B$145=1),$AL$183,HLOOKUP(INDIRECT(ADDRESS(2,COLUMN())),OFFSET($BN$2,0,0,ROW()-1,60),ROW()-1,FALSE))</f>
        <v>66284</v>
      </c>
      <c r="AM42">
        <f ca="1">IF(AND(ISNUMBER($AM$183),$B$145=1),$AM$183,HLOOKUP(INDIRECT(ADDRESS(2,COLUMN())),OFFSET($BN$2,0,0,ROW()-1,60),ROW()-1,FALSE))</f>
        <v>67155</v>
      </c>
      <c r="AN42">
        <f ca="1">IF(AND(ISNUMBER($AN$183),$B$145=1),$AN$183,HLOOKUP(INDIRECT(ADDRESS(2,COLUMN())),OFFSET($BN$2,0,0,ROW()-1,60),ROW()-1,FALSE))</f>
        <v>66490</v>
      </c>
      <c r="AO42">
        <f ca="1">IF(AND(ISNUMBER($AO$183),$B$145=1),$AO$183,HLOOKUP(INDIRECT(ADDRESS(2,COLUMN())),OFFSET($BN$2,0,0,ROW()-1,60),ROW()-1,FALSE))</f>
        <v>64912</v>
      </c>
      <c r="AP42">
        <f ca="1">IF(AND(ISNUMBER($AP$183),$B$145=1),$AP$183,HLOOKUP(INDIRECT(ADDRESS(2,COLUMN())),OFFSET($BN$2,0,0,ROW()-1,60),ROW()-1,FALSE))</f>
        <v>61997</v>
      </c>
      <c r="AQ42">
        <f ca="1">IF(AND(ISNUMBER($AQ$183),$B$145=1),$AQ$183,HLOOKUP(INDIRECT(ADDRESS(2,COLUMN())),OFFSET($BN$2,0,0,ROW()-1,60),ROW()-1,FALSE))</f>
        <v>60396</v>
      </c>
      <c r="AR42">
        <f ca="1">IF(AND(ISNUMBER($AR$183),$B$145=1),$AR$183,HLOOKUP(INDIRECT(ADDRESS(2,COLUMN())),OFFSET($BN$2,0,0,ROW()-1,60),ROW()-1,FALSE))</f>
        <v>57078</v>
      </c>
      <c r="AS42">
        <f ca="1">IF(AND(ISNUMBER($AS$183),$B$145=1),$AS$183,HLOOKUP(INDIRECT(ADDRESS(2,COLUMN())),OFFSET($BN$2,0,0,ROW()-1,60),ROW()-1,FALSE))</f>
        <v>56826</v>
      </c>
      <c r="AT42">
        <f ca="1">IF(AND(ISNUMBER($AT$183),$B$145=1),$AT$183,HLOOKUP(INDIRECT(ADDRESS(2,COLUMN())),OFFSET($BN$2,0,0,ROW()-1,60),ROW()-1,FALSE))</f>
        <v>56069</v>
      </c>
      <c r="AU42">
        <f ca="1">IF(AND(ISNUMBER($AU$183),$B$145=1),$AU$183,HLOOKUP(INDIRECT(ADDRESS(2,COLUMN())),OFFSET($BN$2,0,0,ROW()-1,60),ROW()-1,FALSE))</f>
        <v>52674</v>
      </c>
      <c r="AV42">
        <f ca="1">IF(AND(ISNUMBER($AV$183),$B$145=1),$AV$183,HLOOKUP(INDIRECT(ADDRESS(2,COLUMN())),OFFSET($BN$2,0,0,ROW()-1,60),ROW()-1,FALSE))</f>
        <v>48389</v>
      </c>
      <c r="AW42">
        <f ca="1">IF(AND(ISNUMBER($AW$183),$B$145=1),$AW$183,HLOOKUP(INDIRECT(ADDRESS(2,COLUMN())),OFFSET($BN$2,0,0,ROW()-1,60),ROW()-1,FALSE))</f>
        <v>44761</v>
      </c>
      <c r="AX42">
        <f ca="1">IF(AND(ISNUMBER($AX$183),$B$145=1),$AX$183,HLOOKUP(INDIRECT(ADDRESS(2,COLUMN())),OFFSET($BN$2,0,0,ROW()-1,60),ROW()-1,FALSE))</f>
        <v>40935</v>
      </c>
      <c r="AY42">
        <f ca="1">IF(AND(ISNUMBER($AY$183),$B$145=1),$AY$183,HLOOKUP(INDIRECT(ADDRESS(2,COLUMN())),OFFSET($BN$2,0,0,ROW()-1,60),ROW()-1,FALSE))</f>
        <v>39307</v>
      </c>
      <c r="AZ42">
        <f ca="1">IF(AND(ISNUMBER($AZ$183),$B$145=1),$AZ$183,HLOOKUP(INDIRECT(ADDRESS(2,COLUMN())),OFFSET($BN$2,0,0,ROW()-1,60),ROW()-1,FALSE))</f>
        <v>40307</v>
      </c>
      <c r="BA42">
        <f ca="1">IF(AND(ISNUMBER($BA$183),$B$145=1),$BA$183,HLOOKUP(INDIRECT(ADDRESS(2,COLUMN())),OFFSET($BN$2,0,0,ROW()-1,60),ROW()-1,FALSE))</f>
        <v>40570</v>
      </c>
      <c r="BB42">
        <f ca="1">IF(AND(ISNUMBER($BB$183),$B$145=1),$BB$183,HLOOKUP(INDIRECT(ADDRESS(2,COLUMN())),OFFSET($BN$2,0,0,ROW()-1,60),ROW()-1,FALSE))</f>
        <v>40139</v>
      </c>
      <c r="BC42">
        <f ca="1">IF(AND(ISNUMBER($BC$183),$B$145=1),$BC$183,HLOOKUP(INDIRECT(ADDRESS(2,COLUMN())),OFFSET($BN$2,0,0,ROW()-1,60),ROW()-1,FALSE))</f>
        <v>39636</v>
      </c>
      <c r="BD42">
        <f ca="1">IF(AND(ISNUMBER($BD$183),$B$145=1),$BD$183,HLOOKUP(INDIRECT(ADDRESS(2,COLUMN())),OFFSET($BN$2,0,0,ROW()-1,60),ROW()-1,FALSE))</f>
        <v>39313</v>
      </c>
      <c r="BE42">
        <f ca="1">IF(AND(ISNUMBER($BE$183),$B$145=1),$BE$183,HLOOKUP(INDIRECT(ADDRESS(2,COLUMN())),OFFSET($BN$2,0,0,ROW()-1,60),ROW()-1,FALSE))</f>
        <v>52749</v>
      </c>
      <c r="BF42">
        <f ca="1">IF(AND(ISNUMBER($BF$183),$B$145=1),$BF$183,HLOOKUP(INDIRECT(ADDRESS(2,COLUMN())),OFFSET($BN$2,0,0,ROW()-1,60),ROW()-1,FALSE))</f>
        <v>51937</v>
      </c>
      <c r="BG42">
        <f ca="1">IF(AND(ISNUMBER($BG$183),$B$145=1),$BG$183,HLOOKUP(INDIRECT(ADDRESS(2,COLUMN())),OFFSET($BN$2,0,0,ROW()-1,60),ROW()-1,FALSE))</f>
        <v>52109</v>
      </c>
      <c r="BH42">
        <f ca="1">IF(AND(ISNUMBER($BH$183),$B$145=1),$BH$183,HLOOKUP(INDIRECT(ADDRESS(2,COLUMN())),OFFSET($BN$2,0,0,ROW()-1,60),ROW()-1,FALSE))</f>
        <v>52299</v>
      </c>
      <c r="BI42">
        <f ca="1">IF(AND(ISNUMBER($BI$183),$B$145=1),$BI$183,HLOOKUP(INDIRECT(ADDRESS(2,COLUMN())),OFFSET($BN$2,0,0,ROW()-1,60),ROW()-1,FALSE))</f>
        <v>52248</v>
      </c>
      <c r="BJ42">
        <f ca="1">IF(AND(ISNUMBER($BJ$183),$B$145=1),$BJ$183,HLOOKUP(INDIRECT(ADDRESS(2,COLUMN())),OFFSET($BN$2,0,0,ROW()-1,60),ROW()-1,FALSE))</f>
        <v>51509</v>
      </c>
      <c r="BK42">
        <f ca="1">IF(AND(ISNUMBER($BK$183),$B$145=1),$BK$183,HLOOKUP(INDIRECT(ADDRESS(2,COLUMN())),OFFSET($BN$2,0,0,ROW()-1,60),ROW()-1,FALSE))</f>
        <v>48406</v>
      </c>
      <c r="BL42">
        <f ca="1">IF(AND(ISNUMBER($BL$183),$B$145=1),$BL$183,HLOOKUP(INDIRECT(ADDRESS(2,COLUMN())),OFFSET($BN$2,0,0,ROW()-1,60),ROW()-1,FALSE))</f>
        <v>47777</v>
      </c>
      <c r="BM42" t="str">
        <f ca="1">IF(AND(ISNUMBER($BM$183),$B$145=1),$BM$183,HLOOKUP(INDIRECT(ADDRESS(2,COLUMN())),OFFSET($BN$2,0,0,ROW()-1,60),ROW()-1,FALSE))</f>
        <v/>
      </c>
      <c r="BN42">
        <f>85992</f>
        <v>85992</v>
      </c>
      <c r="BO42">
        <f>81704</f>
        <v>81704</v>
      </c>
      <c r="BP42">
        <f>79799</f>
        <v>79799</v>
      </c>
      <c r="BQ42">
        <f>72426</f>
        <v>72426</v>
      </c>
      <c r="BR42">
        <f>69706</f>
        <v>69706</v>
      </c>
      <c r="BS42">
        <f>67207</f>
        <v>67207</v>
      </c>
      <c r="BT42">
        <f>69221</f>
        <v>69221</v>
      </c>
      <c r="BU42">
        <f>65491</f>
        <v>65491</v>
      </c>
      <c r="BV42">
        <f>72910</f>
        <v>72910</v>
      </c>
      <c r="BW42">
        <f>68523</f>
        <v>68523</v>
      </c>
      <c r="BX42">
        <f>98806</f>
        <v>98806</v>
      </c>
      <c r="BY42">
        <f>123593</f>
        <v>123593</v>
      </c>
      <c r="BZ42">
        <f>132963</f>
        <v>132963</v>
      </c>
      <c r="CA42">
        <f>149376</f>
        <v>149376</v>
      </c>
      <c r="CB42">
        <f>160288</f>
        <v>160288</v>
      </c>
      <c r="CC42">
        <f>156003</f>
        <v>156003</v>
      </c>
      <c r="CD42">
        <f>136840</f>
        <v>136840</v>
      </c>
      <c r="CE42">
        <f>134032</f>
        <v>134032</v>
      </c>
      <c r="CF42">
        <f>128120</f>
        <v>128120</v>
      </c>
      <c r="CG42">
        <f>123681</f>
        <v>123681</v>
      </c>
      <c r="CH42">
        <f>122613</f>
        <v>122613</v>
      </c>
      <c r="CI42">
        <f>74598</f>
        <v>74598</v>
      </c>
      <c r="CJ42">
        <f>69197</f>
        <v>69197</v>
      </c>
      <c r="CK42">
        <f>68113</f>
        <v>68113</v>
      </c>
      <c r="CL42">
        <f>66115</f>
        <v>66115</v>
      </c>
      <c r="CM42">
        <f>64912</f>
        <v>64912</v>
      </c>
      <c r="CN42">
        <f>66347</f>
        <v>66347</v>
      </c>
      <c r="CO42">
        <f>67125</f>
        <v>67125</v>
      </c>
      <c r="CP42">
        <f>68137</f>
        <v>68137</v>
      </c>
      <c r="CQ42">
        <f>67772</f>
        <v>67772</v>
      </c>
      <c r="CR42">
        <f>67455</f>
        <v>67455</v>
      </c>
      <c r="CS42">
        <f>67031</f>
        <v>67031</v>
      </c>
      <c r="CT42">
        <f>66284</f>
        <v>66284</v>
      </c>
      <c r="CU42">
        <f>67155</f>
        <v>67155</v>
      </c>
      <c r="CV42">
        <f>66490</f>
        <v>66490</v>
      </c>
      <c r="CW42">
        <f>64912</f>
        <v>64912</v>
      </c>
      <c r="CX42">
        <f>61997</f>
        <v>61997</v>
      </c>
      <c r="CY42">
        <f>60396</f>
        <v>60396</v>
      </c>
      <c r="CZ42">
        <f>57078</f>
        <v>57078</v>
      </c>
      <c r="DA42">
        <f>56826</f>
        <v>56826</v>
      </c>
      <c r="DB42">
        <f>56069</f>
        <v>56069</v>
      </c>
      <c r="DC42">
        <f>52674</f>
        <v>52674</v>
      </c>
      <c r="DD42">
        <f>48389</f>
        <v>48389</v>
      </c>
      <c r="DE42">
        <f>44761</f>
        <v>44761</v>
      </c>
      <c r="DF42">
        <f>40935</f>
        <v>40935</v>
      </c>
      <c r="DG42">
        <f>39307</f>
        <v>39307</v>
      </c>
      <c r="DH42">
        <f>40307</f>
        <v>40307</v>
      </c>
      <c r="DI42">
        <f>40570</f>
        <v>40570</v>
      </c>
      <c r="DJ42">
        <f>40139</f>
        <v>40139</v>
      </c>
      <c r="DK42">
        <f>39636</f>
        <v>39636</v>
      </c>
      <c r="DL42">
        <f>39313</f>
        <v>39313</v>
      </c>
      <c r="DM42">
        <f>52749</f>
        <v>52749</v>
      </c>
      <c r="DN42">
        <f>51937</f>
        <v>51937</v>
      </c>
      <c r="DO42">
        <f>52109</f>
        <v>52109</v>
      </c>
      <c r="DP42">
        <f>52299</f>
        <v>52299</v>
      </c>
      <c r="DQ42">
        <f>52248</f>
        <v>52248</v>
      </c>
      <c r="DR42">
        <f>51509</f>
        <v>51509</v>
      </c>
      <c r="DS42">
        <f>48406</f>
        <v>48406</v>
      </c>
      <c r="DT42">
        <f>47777</f>
        <v>47777</v>
      </c>
      <c r="DU42" t="str">
        <f>""</f>
        <v/>
      </c>
    </row>
    <row r="43" spans="1:125" x14ac:dyDescent="0.25">
      <c r="A43" t="str">
        <f>"                Wells Fargo &amp; Co"</f>
        <v xml:space="preserve">                Wells Fargo &amp; Co</v>
      </c>
      <c r="B43" t="str">
        <f>"WFC US Equity"</f>
        <v>WFC US Equity</v>
      </c>
      <c r="C43" t="str">
        <f t="shared" si="3"/>
        <v>FC471</v>
      </c>
      <c r="D43" t="str">
        <f t="shared" si="4"/>
        <v>FDIC_SECS_AVAIL_FOR_SALE_MKT_VAL</v>
      </c>
      <c r="E43" t="str">
        <f t="shared" si="5"/>
        <v>Dynamic</v>
      </c>
      <c r="F43">
        <f ca="1">IF(AND(ISNUMBER($F$184),$B$145=1),$F$184,HLOOKUP(INDIRECT(ADDRESS(2,COLUMN())),OFFSET($BN$2,0,0,ROW()-1,60),ROW()-1,FALSE))</f>
        <v>162978</v>
      </c>
      <c r="G43">
        <f ca="1">IF(AND(ISNUMBER($G$184),$B$145=1),$G$184,HLOOKUP(INDIRECT(ADDRESS(2,COLUMN())),OFFSET($BN$2,0,0,ROW()-1,60),ROW()-1,FALSE))</f>
        <v>166004</v>
      </c>
      <c r="H43">
        <f ca="1">IF(AND(ISNUMBER($H$184),$B$145=1),$H$184,HLOOKUP(INDIRECT(ADDRESS(2,COLUMN())),OFFSET($BN$2,0,0,ROW()-1,60),ROW()-1,FALSE))</f>
        <v>148752</v>
      </c>
      <c r="I43">
        <f ca="1">IF(AND(ISNUMBER($I$184),$B$145=1),$I$184,HLOOKUP(INDIRECT(ADDRESS(2,COLUMN())),OFFSET($BN$2,0,0,ROW()-1,60),ROW()-1,FALSE))</f>
        <v>138245</v>
      </c>
      <c r="J43">
        <f ca="1">IF(AND(ISNUMBER($J$184),$B$145=1),$J$184,HLOOKUP(INDIRECT(ADDRESS(2,COLUMN())),OFFSET($BN$2,0,0,ROW()-1,60),ROW()-1,FALSE))</f>
        <v>130448</v>
      </c>
      <c r="K43">
        <f ca="1">IF(AND(ISNUMBER($K$184),$B$145=1),$K$184,HLOOKUP(INDIRECT(ADDRESS(2,COLUMN())),OFFSET($BN$2,0,0,ROW()-1,60),ROW()-1,FALSE))</f>
        <v>126437</v>
      </c>
      <c r="L43">
        <f ca="1">IF(AND(ISNUMBER($L$184),$B$145=1),$L$184,HLOOKUP(INDIRECT(ADDRESS(2,COLUMN())),OFFSET($BN$2,0,0,ROW()-1,60),ROW()-1,FALSE))</f>
        <v>134251</v>
      </c>
      <c r="M43">
        <f ca="1">IF(AND(ISNUMBER($M$184),$B$145=1),$M$184,HLOOKUP(INDIRECT(ADDRESS(2,COLUMN())),OFFSET($BN$2,0,0,ROW()-1,60),ROW()-1,FALSE))</f>
        <v>144398</v>
      </c>
      <c r="N43">
        <f ca="1">IF(AND(ISNUMBER($N$184),$B$145=1),$N$184,HLOOKUP(INDIRECT(ADDRESS(2,COLUMN())),OFFSET($BN$2,0,0,ROW()-1,60),ROW()-1,FALSE))</f>
        <v>113594</v>
      </c>
      <c r="O43">
        <f ca="1">IF(AND(ISNUMBER($O$184),$B$145=1),$O$184,HLOOKUP(INDIRECT(ADDRESS(2,COLUMN())),OFFSET($BN$2,0,0,ROW()-1,60),ROW()-1,FALSE))</f>
        <v>115835</v>
      </c>
      <c r="P43">
        <f ca="1">IF(AND(ISNUMBER($P$184),$B$145=1),$P$184,HLOOKUP(INDIRECT(ADDRESS(2,COLUMN())),OFFSET($BN$2,0,0,ROW()-1,60),ROW()-1,FALSE))</f>
        <v>125832</v>
      </c>
      <c r="Q43">
        <f ca="1">IF(AND(ISNUMBER($Q$184),$B$145=1),$Q$184,HLOOKUP(INDIRECT(ADDRESS(2,COLUMN())),OFFSET($BN$2,0,0,ROW()-1,60),ROW()-1,FALSE))</f>
        <v>168436</v>
      </c>
      <c r="R43">
        <f ca="1">IF(AND(ISNUMBER($R$184),$B$145=1),$R$184,HLOOKUP(INDIRECT(ADDRESS(2,COLUMN())),OFFSET($BN$2,0,0,ROW()-1,60),ROW()-1,FALSE))</f>
        <v>177244</v>
      </c>
      <c r="S43">
        <f ca="1">IF(AND(ISNUMBER($S$184),$B$145=1),$S$184,HLOOKUP(INDIRECT(ADDRESS(2,COLUMN())),OFFSET($BN$2,0,0,ROW()-1,60),ROW()-1,FALSE))</f>
        <v>185556</v>
      </c>
      <c r="T43">
        <f ca="1">IF(AND(ISNUMBER($T$184),$B$145=1),$T$184,HLOOKUP(INDIRECT(ADDRESS(2,COLUMN())),OFFSET($BN$2,0,0,ROW()-1,60),ROW()-1,FALSE))</f>
        <v>189897</v>
      </c>
      <c r="U43">
        <f ca="1">IF(AND(ISNUMBER($U$184),$B$145=1),$U$184,HLOOKUP(INDIRECT(ADDRESS(2,COLUMN())),OFFSET($BN$2,0,0,ROW()-1,60),ROW()-1,FALSE))</f>
        <v>200850</v>
      </c>
      <c r="V43">
        <f ca="1">IF(AND(ISNUMBER($V$184),$B$145=1),$V$184,HLOOKUP(INDIRECT(ADDRESS(2,COLUMN())),OFFSET($BN$2,0,0,ROW()-1,60),ROW()-1,FALSE))</f>
        <v>220392</v>
      </c>
      <c r="W43">
        <f ca="1">IF(AND(ISNUMBER($W$184),$B$145=1),$W$184,HLOOKUP(INDIRECT(ADDRESS(2,COLUMN())),OFFSET($BN$2,0,0,ROW()-1,60),ROW()-1,FALSE))</f>
        <v>220573</v>
      </c>
      <c r="X43">
        <f ca="1">IF(AND(ISNUMBER($X$184),$B$145=1),$X$184,HLOOKUP(INDIRECT(ADDRESS(2,COLUMN())),OFFSET($BN$2,0,0,ROW()-1,60),ROW()-1,FALSE))</f>
        <v>228899</v>
      </c>
      <c r="Y43">
        <f ca="1">IF(AND(ISNUMBER($Y$184),$B$145=1),$Y$184,HLOOKUP(INDIRECT(ADDRESS(2,COLUMN())),OFFSET($BN$2,0,0,ROW()-1,60),ROW()-1,FALSE))</f>
        <v>251229</v>
      </c>
      <c r="Z43">
        <f ca="1">IF(AND(ISNUMBER($Z$184),$B$145=1),$Z$184,HLOOKUP(INDIRECT(ADDRESS(2,COLUMN())),OFFSET($BN$2,0,0,ROW()-1,60),ROW()-1,FALSE))</f>
        <v>263459</v>
      </c>
      <c r="AA43">
        <f ca="1">IF(AND(ISNUMBER($AA$184),$B$145=1),$AA$184,HLOOKUP(INDIRECT(ADDRESS(2,COLUMN())),OFFSET($BN$2,0,0,ROW()-1,60),ROW()-1,FALSE))</f>
        <v>271236</v>
      </c>
      <c r="AB43">
        <f ca="1">IF(AND(ISNUMBER($AB$184),$B$145=1),$AB$184,HLOOKUP(INDIRECT(ADDRESS(2,COLUMN())),OFFSET($BN$2,0,0,ROW()-1,60),ROW()-1,FALSE))</f>
        <v>265983</v>
      </c>
      <c r="AC43">
        <f ca="1">IF(AND(ISNUMBER($AC$184),$B$145=1),$AC$184,HLOOKUP(INDIRECT(ADDRESS(2,COLUMN())),OFFSET($BN$2,0,0,ROW()-1,60),ROW()-1,FALSE))</f>
        <v>268099</v>
      </c>
      <c r="AD43">
        <f ca="1">IF(AND(ISNUMBER($AD$184),$B$145=1),$AD$184,HLOOKUP(INDIRECT(ADDRESS(2,COLUMN())),OFFSET($BN$2,0,0,ROW()-1,60),ROW()-1,FALSE))</f>
        <v>269912</v>
      </c>
      <c r="AE43">
        <f ca="1">IF(AND(ISNUMBER($AE$184),$B$145=1),$AE$184,HLOOKUP(INDIRECT(ADDRESS(2,COLUMN())),OFFSET($BN$2,0,0,ROW()-1,60),ROW()-1,FALSE))</f>
        <v>262964</v>
      </c>
      <c r="AF43">
        <f ca="1">IF(AND(ISNUMBER($AF$184),$B$145=1),$AF$184,HLOOKUP(INDIRECT(ADDRESS(2,COLUMN())),OFFSET($BN$2,0,0,ROW()-1,60),ROW()-1,FALSE))</f>
        <v>265687</v>
      </c>
      <c r="AG43">
        <f ca="1">IF(AND(ISNUMBER($AG$184),$B$145=1),$AG$184,HLOOKUP(INDIRECT(ADDRESS(2,COLUMN())),OFFSET($BN$2,0,0,ROW()-1,60),ROW()-1,FALSE))</f>
        <v>271656</v>
      </c>
      <c r="AH43">
        <f ca="1">IF(AND(ISNUMBER($AH$184),$B$145=1),$AH$184,HLOOKUP(INDIRECT(ADDRESS(2,COLUMN())),OFFSET($BN$2,0,0,ROW()-1,60),ROW()-1,FALSE))</f>
        <v>278086</v>
      </c>
      <c r="AI43">
        <f ca="1">IF(AND(ISNUMBER($AI$184),$B$145=1),$AI$184,HLOOKUP(INDIRECT(ADDRESS(2,COLUMN())),OFFSET($BN$2,0,0,ROW()-1,60),ROW()-1,FALSE))</f>
        <v>272723</v>
      </c>
      <c r="AJ43">
        <f ca="1">IF(AND(ISNUMBER($AJ$184),$B$145=1),$AJ$184,HLOOKUP(INDIRECT(ADDRESS(2,COLUMN())),OFFSET($BN$2,0,0,ROW()-1,60),ROW()-1,FALSE))</f>
        <v>270165</v>
      </c>
      <c r="AK43">
        <f ca="1">IF(AND(ISNUMBER($AK$184),$B$145=1),$AK$184,HLOOKUP(INDIRECT(ADDRESS(2,COLUMN())),OFFSET($BN$2,0,0,ROW()-1,60),ROW()-1,FALSE))</f>
        <v>300653</v>
      </c>
      <c r="AL43">
        <f ca="1">IF(AND(ISNUMBER($AL$184),$B$145=1),$AL$184,HLOOKUP(INDIRECT(ADDRESS(2,COLUMN())),OFFSET($BN$2,0,0,ROW()-1,60),ROW()-1,FALSE))</f>
        <v>309154</v>
      </c>
      <c r="AM43">
        <f ca="1">IF(AND(ISNUMBER($AM$184),$B$145=1),$AM$184,HLOOKUP(INDIRECT(ADDRESS(2,COLUMN())),OFFSET($BN$2,0,0,ROW()-1,60),ROW()-1,FALSE))</f>
        <v>293434</v>
      </c>
      <c r="AN43">
        <f ca="1">IF(AND(ISNUMBER($AN$184),$B$145=1),$AN$184,HLOOKUP(INDIRECT(ADDRESS(2,COLUMN())),OFFSET($BN$2,0,0,ROW()-1,60),ROW()-1,FALSE))</f>
        <v>259510</v>
      </c>
      <c r="AO43">
        <f ca="1">IF(AND(ISNUMBER($AO$184),$B$145=1),$AO$184,HLOOKUP(INDIRECT(ADDRESS(2,COLUMN())),OFFSET($BN$2,0,0,ROW()-1,60),ROW()-1,FALSE))</f>
        <v>260539</v>
      </c>
      <c r="AP43">
        <f ca="1">IF(AND(ISNUMBER($AP$184),$B$145=1),$AP$184,HLOOKUP(INDIRECT(ADDRESS(2,COLUMN())),OFFSET($BN$2,0,0,ROW()-1,60),ROW()-1,FALSE))</f>
        <v>267820</v>
      </c>
      <c r="AQ43">
        <f ca="1">IF(AND(ISNUMBER($AQ$184),$B$145=1),$AQ$184,HLOOKUP(INDIRECT(ADDRESS(2,COLUMN())),OFFSET($BN$2,0,0,ROW()-1,60),ROW()-1,FALSE))</f>
        <v>266882</v>
      </c>
      <c r="AR43">
        <f ca="1">IF(AND(ISNUMBER($AR$184),$B$145=1),$AR$184,HLOOKUP(INDIRECT(ADDRESS(2,COLUMN())),OFFSET($BN$2,0,0,ROW()-1,60),ROW()-1,FALSE))</f>
        <v>260875</v>
      </c>
      <c r="AS43">
        <f ca="1">IF(AND(ISNUMBER($AS$184),$B$145=1),$AS$184,HLOOKUP(INDIRECT(ADDRESS(2,COLUMN())),OFFSET($BN$2,0,0,ROW()-1,60),ROW()-1,FALSE))</f>
        <v>257895</v>
      </c>
      <c r="AT43">
        <f ca="1">IF(AND(ISNUMBER($AT$184),$B$145=1),$AT$184,HLOOKUP(INDIRECT(ADDRESS(2,COLUMN())),OFFSET($BN$2,0,0,ROW()-1,60),ROW()-1,FALSE))</f>
        <v>257956</v>
      </c>
      <c r="AU43">
        <f ca="1">IF(AND(ISNUMBER($AU$184),$B$145=1),$AU$184,HLOOKUP(INDIRECT(ADDRESS(2,COLUMN())),OFFSET($BN$2,0,0,ROW()-1,60),ROW()-1,FALSE))</f>
        <v>249450</v>
      </c>
      <c r="AV43">
        <f ca="1">IF(AND(ISNUMBER($AV$184),$B$145=1),$AV$184,HLOOKUP(INDIRECT(ADDRESS(2,COLUMN())),OFFSET($BN$2,0,0,ROW()-1,60),ROW()-1,FALSE))</f>
        <v>249756</v>
      </c>
      <c r="AW43">
        <f ca="1">IF(AND(ISNUMBER($AW$184),$B$145=1),$AW$184,HLOOKUP(INDIRECT(ADDRESS(2,COLUMN())),OFFSET($BN$2,0,0,ROW()-1,60),ROW()-1,FALSE))</f>
        <v>253369</v>
      </c>
      <c r="AX43">
        <f ca="1">IF(AND(ISNUMBER($AX$184),$B$145=1),$AX$184,HLOOKUP(INDIRECT(ADDRESS(2,COLUMN())),OFFSET($BN$2,0,0,ROW()-1,60),ROW()-1,FALSE))</f>
        <v>252683</v>
      </c>
      <c r="AY43">
        <f ca="1">IF(AND(ISNUMBER($AY$184),$B$145=1),$AY$184,HLOOKUP(INDIRECT(ADDRESS(2,COLUMN())),OFFSET($BN$2,0,0,ROW()-1,60),ROW()-1,FALSE))</f>
        <v>259874</v>
      </c>
      <c r="AZ43">
        <f ca="1">IF(AND(ISNUMBER($AZ$184),$B$145=1),$AZ$184,HLOOKUP(INDIRECT(ADDRESS(2,COLUMN())),OFFSET($BN$2,0,0,ROW()-1,60),ROW()-1,FALSE))</f>
        <v>249439</v>
      </c>
      <c r="BA43">
        <f ca="1">IF(AND(ISNUMBER($BA$184),$B$145=1),$BA$184,HLOOKUP(INDIRECT(ADDRESS(2,COLUMN())),OFFSET($BN$2,0,0,ROW()-1,60),ROW()-1,FALSE))</f>
        <v>248160</v>
      </c>
      <c r="BB43">
        <f ca="1">IF(AND(ISNUMBER($BB$184),$B$145=1),$BB$184,HLOOKUP(INDIRECT(ADDRESS(2,COLUMN())),OFFSET($BN$2,0,0,ROW()-1,60),ROW()-1,FALSE))</f>
        <v>235199</v>
      </c>
      <c r="BC43">
        <f ca="1">IF(AND(ISNUMBER($BC$184),$B$145=1),$BC$184,HLOOKUP(INDIRECT(ADDRESS(2,COLUMN())),OFFSET($BN$2,0,0,ROW()-1,60),ROW()-1,FALSE))</f>
        <v>229350</v>
      </c>
      <c r="BD43">
        <f ca="1">IF(AND(ISNUMBER($BD$184),$B$145=1),$BD$184,HLOOKUP(INDIRECT(ADDRESS(2,COLUMN())),OFFSET($BN$2,0,0,ROW()-1,60),ROW()-1,FALSE))</f>
        <v>226846</v>
      </c>
      <c r="BE43">
        <f ca="1">IF(AND(ISNUMBER($BE$184),$B$145=1),$BE$184,HLOOKUP(INDIRECT(ADDRESS(2,COLUMN())),OFFSET($BN$2,0,0,ROW()-1,60),ROW()-1,FALSE))</f>
        <v>230266</v>
      </c>
      <c r="BF43">
        <f ca="1">IF(AND(ISNUMBER($BF$184),$B$145=1),$BF$184,HLOOKUP(INDIRECT(ADDRESS(2,COLUMN())),OFFSET($BN$2,0,0,ROW()-1,60),ROW()-1,FALSE))</f>
        <v>222613</v>
      </c>
      <c r="BG43">
        <f ca="1">IF(AND(ISNUMBER($BG$184),$B$145=1),$BG$184,HLOOKUP(INDIRECT(ADDRESS(2,COLUMN())),OFFSET($BN$2,0,0,ROW()-1,60),ROW()-1,FALSE))</f>
        <v>207176</v>
      </c>
      <c r="BH43">
        <f ca="1">IF(AND(ISNUMBER($BH$184),$B$145=1),$BH$184,HLOOKUP(INDIRECT(ADDRESS(2,COLUMN())),OFFSET($BN$2,0,0,ROW()-1,60),ROW()-1,FALSE))</f>
        <v>186298</v>
      </c>
      <c r="BI43">
        <f ca="1">IF(AND(ISNUMBER($BI$184),$B$145=1),$BI$184,HLOOKUP(INDIRECT(ADDRESS(2,COLUMN())),OFFSET($BN$2,0,0,ROW()-1,60),ROW()-1,FALSE))</f>
        <v>167906</v>
      </c>
      <c r="BJ43">
        <f ca="1">IF(AND(ISNUMBER($BJ$184),$B$145=1),$BJ$184,HLOOKUP(INDIRECT(ADDRESS(2,COLUMN())),OFFSET($BN$2,0,0,ROW()-1,60),ROW()-1,FALSE))</f>
        <v>172654</v>
      </c>
      <c r="BK43">
        <f ca="1">IF(AND(ISNUMBER($BK$184),$B$145=1),$BK$184,HLOOKUP(INDIRECT(ADDRESS(2,COLUMN())),OFFSET($BN$2,0,0,ROW()-1,60),ROW()-1,FALSE))</f>
        <v>176875</v>
      </c>
      <c r="BL43">
        <f ca="1">IF(AND(ISNUMBER($BL$184),$B$145=1),$BL$184,HLOOKUP(INDIRECT(ADDRESS(2,COLUMN())),OFFSET($BN$2,0,0,ROW()-1,60),ROW()-1,FALSE))</f>
        <v>157931</v>
      </c>
      <c r="BM43" t="str">
        <f ca="1">IF(AND(ISNUMBER($BM$184),$B$145=1),$BM$184,HLOOKUP(INDIRECT(ADDRESS(2,COLUMN())),OFFSET($BN$2,0,0,ROW()-1,60),ROW()-1,FALSE))</f>
        <v/>
      </c>
      <c r="BN43">
        <f>162978</f>
        <v>162978</v>
      </c>
      <c r="BO43">
        <f>166004</f>
        <v>166004</v>
      </c>
      <c r="BP43">
        <f>148752</f>
        <v>148752</v>
      </c>
      <c r="BQ43">
        <f>138245</f>
        <v>138245</v>
      </c>
      <c r="BR43">
        <f>130448</f>
        <v>130448</v>
      </c>
      <c r="BS43">
        <f>126437</f>
        <v>126437</v>
      </c>
      <c r="BT43">
        <f>134251</f>
        <v>134251</v>
      </c>
      <c r="BU43">
        <f>144398</f>
        <v>144398</v>
      </c>
      <c r="BV43">
        <f>113594</f>
        <v>113594</v>
      </c>
      <c r="BW43">
        <f>115835</f>
        <v>115835</v>
      </c>
      <c r="BX43">
        <f>125832</f>
        <v>125832</v>
      </c>
      <c r="BY43">
        <f>168436</f>
        <v>168436</v>
      </c>
      <c r="BZ43">
        <f>177244</f>
        <v>177244</v>
      </c>
      <c r="CA43">
        <f>185556</f>
        <v>185556</v>
      </c>
      <c r="CB43">
        <f>189897</f>
        <v>189897</v>
      </c>
      <c r="CC43">
        <f>200850</f>
        <v>200850</v>
      </c>
      <c r="CD43">
        <f>220392</f>
        <v>220392</v>
      </c>
      <c r="CE43">
        <f>220573</f>
        <v>220573</v>
      </c>
      <c r="CF43">
        <f>228899</f>
        <v>228899</v>
      </c>
      <c r="CG43">
        <f>251229</f>
        <v>251229</v>
      </c>
      <c r="CH43">
        <f>263459</f>
        <v>263459</v>
      </c>
      <c r="CI43">
        <f>271236</f>
        <v>271236</v>
      </c>
      <c r="CJ43">
        <f>265983</f>
        <v>265983</v>
      </c>
      <c r="CK43">
        <f>268099</f>
        <v>268099</v>
      </c>
      <c r="CL43">
        <f>269912</f>
        <v>269912</v>
      </c>
      <c r="CM43">
        <f>262964</f>
        <v>262964</v>
      </c>
      <c r="CN43">
        <f>265687</f>
        <v>265687</v>
      </c>
      <c r="CO43">
        <f>271656</f>
        <v>271656</v>
      </c>
      <c r="CP43">
        <f>278086</f>
        <v>278086</v>
      </c>
      <c r="CQ43">
        <f>272723</f>
        <v>272723</v>
      </c>
      <c r="CR43">
        <f>270165</f>
        <v>270165</v>
      </c>
      <c r="CS43">
        <f>300653</f>
        <v>300653</v>
      </c>
      <c r="CT43">
        <f>309154</f>
        <v>309154</v>
      </c>
      <c r="CU43">
        <f>293434</f>
        <v>293434</v>
      </c>
      <c r="CV43">
        <f>259510</f>
        <v>259510</v>
      </c>
      <c r="CW43">
        <f>260539</f>
        <v>260539</v>
      </c>
      <c r="CX43">
        <f>267820</f>
        <v>267820</v>
      </c>
      <c r="CY43">
        <f>266882</f>
        <v>266882</v>
      </c>
      <c r="CZ43">
        <f>260875</f>
        <v>260875</v>
      </c>
      <c r="DA43">
        <f>257895</f>
        <v>257895</v>
      </c>
      <c r="DB43">
        <f>257956</f>
        <v>257956</v>
      </c>
      <c r="DC43">
        <f>249450</f>
        <v>249450</v>
      </c>
      <c r="DD43">
        <f>249756</f>
        <v>249756</v>
      </c>
      <c r="DE43">
        <f>253369</f>
        <v>253369</v>
      </c>
      <c r="DF43">
        <f>252683</f>
        <v>252683</v>
      </c>
      <c r="DG43">
        <f>259874</f>
        <v>259874</v>
      </c>
      <c r="DH43">
        <f>249439</f>
        <v>249439</v>
      </c>
      <c r="DI43">
        <f>248160</f>
        <v>248160</v>
      </c>
      <c r="DJ43">
        <f>235199</f>
        <v>235199</v>
      </c>
      <c r="DK43">
        <f>229350</f>
        <v>229350</v>
      </c>
      <c r="DL43">
        <f>226846</f>
        <v>226846</v>
      </c>
      <c r="DM43">
        <f>230266</f>
        <v>230266</v>
      </c>
      <c r="DN43">
        <f>222613</f>
        <v>222613</v>
      </c>
      <c r="DO43">
        <f>207176</f>
        <v>207176</v>
      </c>
      <c r="DP43">
        <f>186298</f>
        <v>186298</v>
      </c>
      <c r="DQ43">
        <f>167906</f>
        <v>167906</v>
      </c>
      <c r="DR43">
        <f>172654</f>
        <v>172654</v>
      </c>
      <c r="DS43">
        <f>176875</f>
        <v>176875</v>
      </c>
      <c r="DT43">
        <f>157931</f>
        <v>157931</v>
      </c>
      <c r="DU43" t="str">
        <f>""</f>
        <v/>
      </c>
    </row>
    <row r="44" spans="1:125" x14ac:dyDescent="0.25">
      <c r="A44" t="str">
        <f>"                Western Alliance Bancorp"</f>
        <v xml:space="preserve">                Western Alliance Bancorp</v>
      </c>
      <c r="B44" t="str">
        <f>"WAL US Equity"</f>
        <v>WAL US Equity</v>
      </c>
      <c r="C44" t="str">
        <f t="shared" si="3"/>
        <v>FC471</v>
      </c>
      <c r="D44" t="str">
        <f t="shared" si="4"/>
        <v>FDIC_SECS_AVAIL_FOR_SALE_MKT_VAL</v>
      </c>
      <c r="E44" t="str">
        <f t="shared" si="5"/>
        <v>Dynamic</v>
      </c>
      <c r="F44">
        <f ca="1">IF(AND(ISNUMBER($F$185),$B$145=1),$F$185,HLOOKUP(INDIRECT(ADDRESS(2,COLUMN())),OFFSET($BN$2,0,0,ROW()-1,60),ROW()-1,FALSE))</f>
        <v>13468.288</v>
      </c>
      <c r="G44">
        <f ca="1">IF(AND(ISNUMBER($G$185),$B$145=1),$G$185,HLOOKUP(INDIRECT(ADDRESS(2,COLUMN())),OFFSET($BN$2,0,0,ROW()-1,60),ROW()-1,FALSE))</f>
        <v>14749.968000000001</v>
      </c>
      <c r="H44">
        <f ca="1">IF(AND(ISNUMBER($H$185),$B$145=1),$H$185,HLOOKUP(INDIRECT(ADDRESS(2,COLUMN())),OFFSET($BN$2,0,0,ROW()-1,60),ROW()-1,FALSE))</f>
        <v>15681.272999999999</v>
      </c>
      <c r="I44">
        <f ca="1">IF(AND(ISNUMBER($I$185),$B$145=1),$I$185,HLOOKUP(INDIRECT(ADDRESS(2,COLUMN())),OFFSET($BN$2,0,0,ROW()-1,60),ROW()-1,FALSE))</f>
        <v>14508.793</v>
      </c>
      <c r="J44">
        <f ca="1">IF(AND(ISNUMBER($J$185),$B$145=1),$J$185,HLOOKUP(INDIRECT(ADDRESS(2,COLUMN())),OFFSET($BN$2,0,0,ROW()-1,60),ROW()-1,FALSE))</f>
        <v>11164.916999999999</v>
      </c>
      <c r="K44">
        <f ca="1">IF(AND(ISNUMBER($K$185),$B$145=1),$K$185,HLOOKUP(INDIRECT(ADDRESS(2,COLUMN())),OFFSET($BN$2,0,0,ROW()-1,60),ROW()-1,FALSE))</f>
        <v>9688.7450000000008</v>
      </c>
      <c r="L44">
        <f ca="1">IF(AND(ISNUMBER($L$185),$B$145=1),$L$185,HLOOKUP(INDIRECT(ADDRESS(2,COLUMN())),OFFSET($BN$2,0,0,ROW()-1,60),ROW()-1,FALSE))</f>
        <v>8630.7579999999998</v>
      </c>
      <c r="M44">
        <f ca="1">IF(AND(ISNUMBER($M$185),$B$145=1),$M$185,HLOOKUP(INDIRECT(ADDRESS(2,COLUMN())),OFFSET($BN$2,0,0,ROW()-1,60),ROW()-1,FALSE))</f>
        <v>7645.4719999999998</v>
      </c>
      <c r="N44">
        <f ca="1">IF(AND(ISNUMBER($N$185),$B$145=1),$N$185,HLOOKUP(INDIRECT(ADDRESS(2,COLUMN())),OFFSET($BN$2,0,0,ROW()-1,60),ROW()-1,FALSE))</f>
        <v>7092.4179999999997</v>
      </c>
      <c r="O44">
        <f ca="1">IF(AND(ISNUMBER($O$185),$B$145=1),$O$185,HLOOKUP(INDIRECT(ADDRESS(2,COLUMN())),OFFSET($BN$2,0,0,ROW()-1,60),ROW()-1,FALSE))</f>
        <v>6960.3239999999996</v>
      </c>
      <c r="P44">
        <f ca="1">IF(AND(ISNUMBER($P$185),$B$145=1),$P$185,HLOOKUP(INDIRECT(ADDRESS(2,COLUMN())),OFFSET($BN$2,0,0,ROW()-1,60),ROW()-1,FALSE))</f>
        <v>7267.6450000000004</v>
      </c>
      <c r="Q44">
        <f ca="1">IF(AND(ISNUMBER($Q$185),$B$145=1),$Q$185,HLOOKUP(INDIRECT(ADDRESS(2,COLUMN())),OFFSET($BN$2,0,0,ROW()-1,60),ROW()-1,FALSE))</f>
        <v>6852.1949999999997</v>
      </c>
      <c r="R44">
        <f ca="1">IF(AND(ISNUMBER($R$185),$B$145=1),$R$185,HLOOKUP(INDIRECT(ADDRESS(2,COLUMN())),OFFSET($BN$2,0,0,ROW()-1,60),ROW()-1,FALSE))</f>
        <v>6188.8159999999998</v>
      </c>
      <c r="S44">
        <f ca="1">IF(AND(ISNUMBER($S$185),$B$145=1),$S$185,HLOOKUP(INDIRECT(ADDRESS(2,COLUMN())),OFFSET($BN$2,0,0,ROW()-1,60),ROW()-1,FALSE))</f>
        <v>6383.6080000000002</v>
      </c>
      <c r="T44">
        <f ca="1">IF(AND(ISNUMBER($T$185),$B$145=1),$T$185,HLOOKUP(INDIRECT(ADDRESS(2,COLUMN())),OFFSET($BN$2,0,0,ROW()-1,60),ROW()-1,FALSE))</f>
        <v>6615.2020000000002</v>
      </c>
      <c r="U44">
        <f ca="1">IF(AND(ISNUMBER($U$185),$B$145=1),$U$185,HLOOKUP(INDIRECT(ADDRESS(2,COLUMN())),OFFSET($BN$2,0,0,ROW()-1,60),ROW()-1,FALSE))</f>
        <v>6939.9390000000003</v>
      </c>
      <c r="V44">
        <f ca="1">IF(AND(ISNUMBER($V$185),$B$145=1),$V$185,HLOOKUP(INDIRECT(ADDRESS(2,COLUMN())),OFFSET($BN$2,0,0,ROW()-1,60),ROW()-1,FALSE))</f>
        <v>4708.5110000000004</v>
      </c>
      <c r="W44">
        <f ca="1">IF(AND(ISNUMBER($W$185),$B$145=1),$W$185,HLOOKUP(INDIRECT(ADDRESS(2,COLUMN())),OFFSET($BN$2,0,0,ROW()-1,60),ROW()-1,FALSE))</f>
        <v>3975.2249999999999</v>
      </c>
      <c r="X44">
        <f ca="1">IF(AND(ISNUMBER($X$185),$B$145=1),$X$185,HLOOKUP(INDIRECT(ADDRESS(2,COLUMN())),OFFSET($BN$2,0,0,ROW()-1,60),ROW()-1,FALSE))</f>
        <v>3516.922</v>
      </c>
      <c r="Y44">
        <f ca="1">IF(AND(ISNUMBER($Y$185),$B$145=1),$Y$185,HLOOKUP(INDIRECT(ADDRESS(2,COLUMN())),OFFSET($BN$2,0,0,ROW()-1,60),ROW()-1,FALSE))</f>
        <v>3676.6509999999998</v>
      </c>
      <c r="Z44">
        <f ca="1">IF(AND(ISNUMBER($Z$185),$B$145=1),$Z$185,HLOOKUP(INDIRECT(ADDRESS(2,COLUMN())),OFFSET($BN$2,0,0,ROW()-1,60),ROW()-1,FALSE))</f>
        <v>3346.31</v>
      </c>
      <c r="AA44">
        <f ca="1">IF(AND(ISNUMBER($AA$185),$B$145=1),$AA$185,HLOOKUP(INDIRECT(ADDRESS(2,COLUMN())),OFFSET($BN$2,0,0,ROW()-1,60),ROW()-1,FALSE))</f>
        <v>3512.828</v>
      </c>
      <c r="AB44">
        <f ca="1">IF(AND(ISNUMBER($AB$185),$B$145=1),$AB$185,HLOOKUP(INDIRECT(ADDRESS(2,COLUMN())),OFFSET($BN$2,0,0,ROW()-1,60),ROW()-1,FALSE))</f>
        <v>3253.0940000000001</v>
      </c>
      <c r="AC44">
        <f ca="1">IF(AND(ISNUMBER($AC$185),$B$145=1),$AC$185,HLOOKUP(INDIRECT(ADDRESS(2,COLUMN())),OFFSET($BN$2,0,0,ROW()-1,60),ROW()-1,FALSE))</f>
        <v>3244.2469999999998</v>
      </c>
      <c r="AD44">
        <f ca="1">IF(AND(ISNUMBER($AD$185),$B$145=1),$AD$185,HLOOKUP(INDIRECT(ADDRESS(2,COLUMN())),OFFSET($BN$2,0,0,ROW()-1,60),ROW()-1,FALSE))</f>
        <v>3276.9879999999998</v>
      </c>
      <c r="AE44">
        <f ca="1">IF(AND(ISNUMBER($AE$185),$B$145=1),$AE$185,HLOOKUP(INDIRECT(ADDRESS(2,COLUMN())),OFFSET($BN$2,0,0,ROW()-1,60),ROW()-1,FALSE))</f>
        <v>3107.076</v>
      </c>
      <c r="AF44">
        <f ca="1">IF(AND(ISNUMBER($AF$185),$B$145=1),$AF$185,HLOOKUP(INDIRECT(ADDRESS(2,COLUMN())),OFFSET($BN$2,0,0,ROW()-1,60),ROW()-1,FALSE))</f>
        <v>3199.0149999999999</v>
      </c>
      <c r="AG44">
        <f ca="1">IF(AND(ISNUMBER($AG$185),$B$145=1),$AG$185,HLOOKUP(INDIRECT(ADDRESS(2,COLUMN())),OFFSET($BN$2,0,0,ROW()-1,60),ROW()-1,FALSE))</f>
        <v>3261.2979999999998</v>
      </c>
      <c r="AH44">
        <f ca="1">IF(AND(ISNUMBER($AH$185),$B$145=1),$AH$185,HLOOKUP(INDIRECT(ADDRESS(2,COLUMN())),OFFSET($BN$2,0,0,ROW()-1,60),ROW()-1,FALSE))</f>
        <v>3499.5189999999998</v>
      </c>
      <c r="AI44">
        <f ca="1">IF(AND(ISNUMBER($AI$185),$B$145=1),$AI$185,HLOOKUP(INDIRECT(ADDRESS(2,COLUMN())),OFFSET($BN$2,0,0,ROW()-1,60),ROW()-1,FALSE))</f>
        <v>3552.8440000000001</v>
      </c>
      <c r="AJ44">
        <f ca="1">IF(AND(ISNUMBER($AJ$185),$B$145=1),$AJ$185,HLOOKUP(INDIRECT(ADDRESS(2,COLUMN())),OFFSET($BN$2,0,0,ROW()-1,60),ROW()-1,FALSE))</f>
        <v>3084.6579999999999</v>
      </c>
      <c r="AK44">
        <f ca="1">IF(AND(ISNUMBER($AK$185),$B$145=1),$AK$185,HLOOKUP(INDIRECT(ADDRESS(2,COLUMN())),OFFSET($BN$2,0,0,ROW()-1,60),ROW()-1,FALSE))</f>
        <v>2700.011</v>
      </c>
      <c r="AL44">
        <f ca="1">IF(AND(ISNUMBER($AL$185),$B$145=1),$AL$185,HLOOKUP(INDIRECT(ADDRESS(2,COLUMN())),OFFSET($BN$2,0,0,ROW()-1,60),ROW()-1,FALSE))</f>
        <v>2609.38</v>
      </c>
      <c r="AM44">
        <f ca="1">IF(AND(ISNUMBER($AM$185),$B$145=1),$AM$185,HLOOKUP(INDIRECT(ADDRESS(2,COLUMN())),OFFSET($BN$2,0,0,ROW()-1,60),ROW()-1,FALSE))</f>
        <v>2659.1819999999998</v>
      </c>
      <c r="AN44">
        <f ca="1">IF(AND(ISNUMBER($AN$185),$B$145=1),$AN$185,HLOOKUP(INDIRECT(ADDRESS(2,COLUMN())),OFFSET($BN$2,0,0,ROW()-1,60),ROW()-1,FALSE))</f>
        <v>2165.5390000000002</v>
      </c>
      <c r="AO44">
        <f ca="1">IF(AND(ISNUMBER($AO$185),$B$145=1),$AO$185,HLOOKUP(INDIRECT(ADDRESS(2,COLUMN())),OFFSET($BN$2,0,0,ROW()-1,60),ROW()-1,FALSE))</f>
        <v>2012.82</v>
      </c>
      <c r="AP44">
        <f ca="1">IF(AND(ISNUMBER($AP$185),$B$145=1),$AP$185,HLOOKUP(INDIRECT(ADDRESS(2,COLUMN())),OFFSET($BN$2,0,0,ROW()-1,60),ROW()-1,FALSE))</f>
        <v>1982.5229999999999</v>
      </c>
      <c r="AQ44">
        <f ca="1">IF(AND(ISNUMBER($AQ$185),$B$145=1),$AQ$185,HLOOKUP(INDIRECT(ADDRESS(2,COLUMN())),OFFSET($BN$2,0,0,ROW()-1,60),ROW()-1,FALSE))</f>
        <v>1932.98</v>
      </c>
      <c r="AR44">
        <f ca="1">IF(AND(ISNUMBER($AR$185),$B$145=1),$AR$185,HLOOKUP(INDIRECT(ADDRESS(2,COLUMN())),OFFSET($BN$2,0,0,ROW()-1,60),ROW()-1,FALSE))</f>
        <v>1478.2339999999999</v>
      </c>
      <c r="AS44">
        <f ca="1">IF(AND(ISNUMBER($AS$185),$B$145=1),$AS$185,HLOOKUP(INDIRECT(ADDRESS(2,COLUMN())),OFFSET($BN$2,0,0,ROW()-1,60),ROW()-1,FALSE))</f>
        <v>1399.4280000000001</v>
      </c>
      <c r="AT44">
        <f ca="1">IF(AND(ISNUMBER($AT$185),$B$145=1),$AT$185,HLOOKUP(INDIRECT(ADDRESS(2,COLUMN())),OFFSET($BN$2,0,0,ROW()-1,60),ROW()-1,FALSE))</f>
        <v>1520.2370000000001</v>
      </c>
      <c r="AU44">
        <f ca="1">IF(AND(ISNUMBER($AU$185),$B$145=1),$AU$185,HLOOKUP(INDIRECT(ADDRESS(2,COLUMN())),OFFSET($BN$2,0,0,ROW()-1,60),ROW()-1,FALSE))</f>
        <v>1570.0619999999999</v>
      </c>
      <c r="AV44">
        <f ca="1">IF(AND(ISNUMBER($AV$185),$B$145=1),$AV$185,HLOOKUP(INDIRECT(ADDRESS(2,COLUMN())),OFFSET($BN$2,0,0,ROW()-1,60),ROW()-1,FALSE))</f>
        <v>1578.6790000000001</v>
      </c>
      <c r="AW44">
        <f ca="1">IF(AND(ISNUMBER($AW$185),$B$145=1),$AW$185,HLOOKUP(INDIRECT(ADDRESS(2,COLUMN())),OFFSET($BN$2,0,0,ROW()-1,60),ROW()-1,FALSE))</f>
        <v>1367.2840000000001</v>
      </c>
      <c r="AX44">
        <f ca="1">IF(AND(ISNUMBER($AX$185),$B$145=1),$AX$185,HLOOKUP(INDIRECT(ADDRESS(2,COLUMN())),OFFSET($BN$2,0,0,ROW()-1,60),ROW()-1,FALSE))</f>
        <v>1373.328</v>
      </c>
      <c r="AY44">
        <f ca="1">IF(AND(ISNUMBER($AY$185),$B$145=1),$AY$185,HLOOKUP(INDIRECT(ADDRESS(2,COLUMN())),OFFSET($BN$2,0,0,ROW()-1,60),ROW()-1,FALSE))</f>
        <v>1078.0619999999999</v>
      </c>
      <c r="AZ44">
        <f ca="1">IF(AND(ISNUMBER($AZ$185),$B$145=1),$AZ$185,HLOOKUP(INDIRECT(ADDRESS(2,COLUMN())),OFFSET($BN$2,0,0,ROW()-1,60),ROW()-1,FALSE))</f>
        <v>988.13800000000003</v>
      </c>
      <c r="BA44">
        <f ca="1">IF(AND(ISNUMBER($BA$185),$B$145=1),$BA$185,HLOOKUP(INDIRECT(ADDRESS(2,COLUMN())),OFFSET($BN$2,0,0,ROW()-1,60),ROW()-1,FALSE))</f>
        <v>1006.981</v>
      </c>
      <c r="BB44">
        <f ca="1">IF(AND(ISNUMBER($BB$185),$B$145=1),$BB$185,HLOOKUP(INDIRECT(ADDRESS(2,COLUMN())),OFFSET($BN$2,0,0,ROW()-1,60),ROW()-1,FALSE))</f>
        <v>940.25400000000002</v>
      </c>
      <c r="BC44">
        <f ca="1">IF(AND(ISNUMBER($BC$185),$B$145=1),$BC$185,HLOOKUP(INDIRECT(ADDRESS(2,COLUMN())),OFFSET($BN$2,0,0,ROW()-1,60),ROW()-1,FALSE))</f>
        <v>1049.903</v>
      </c>
      <c r="BD44">
        <f ca="1">IF(AND(ISNUMBER($BD$185),$B$145=1),$BD$185,HLOOKUP(INDIRECT(ADDRESS(2,COLUMN())),OFFSET($BN$2,0,0,ROW()-1,60),ROW()-1,FALSE))</f>
        <v>1110.759</v>
      </c>
      <c r="BE44">
        <f ca="1">IF(AND(ISNUMBER($BE$185),$B$145=1),$BE$185,HLOOKUP(INDIRECT(ADDRESS(2,COLUMN())),OFFSET($BN$2,0,0,ROW()-1,60),ROW()-1,FALSE))</f>
        <v>1131.491</v>
      </c>
      <c r="BF44">
        <f ca="1">IF(AND(ISNUMBER($BF$185),$B$145=1),$BF$185,HLOOKUP(INDIRECT(ADDRESS(2,COLUMN())),OFFSET($BN$2,0,0,ROW()-1,60),ROW()-1,FALSE))</f>
        <v>1197.7280000000001</v>
      </c>
      <c r="BG44">
        <f ca="1">IF(AND(ISNUMBER($BG$185),$B$145=1),$BG$185,HLOOKUP(INDIRECT(ADDRESS(2,COLUMN())),OFFSET($BN$2,0,0,ROW()-1,60),ROW()-1,FALSE))</f>
        <v>1124.4639999999999</v>
      </c>
      <c r="BH44">
        <f ca="1">IF(AND(ISNUMBER($BH$185),$B$145=1),$BH$185,HLOOKUP(INDIRECT(ADDRESS(2,COLUMN())),OFFSET($BN$2,0,0,ROW()-1,60),ROW()-1,FALSE))</f>
        <v>1048.55</v>
      </c>
      <c r="BI44">
        <f ca="1">IF(AND(ISNUMBER($BI$185),$B$145=1),$BI$185,HLOOKUP(INDIRECT(ADDRESS(2,COLUMN())),OFFSET($BN$2,0,0,ROW()-1,60),ROW()-1,FALSE))</f>
        <v>1260.8420000000001</v>
      </c>
      <c r="BJ44">
        <f ca="1">IF(AND(ISNUMBER($BJ$185),$B$145=1),$BJ$185,HLOOKUP(INDIRECT(ADDRESS(2,COLUMN())),OFFSET($BN$2,0,0,ROW()-1,60),ROW()-1,FALSE))</f>
        <v>1210.646</v>
      </c>
      <c r="BK44">
        <f ca="1">IF(AND(ISNUMBER($BK$185),$B$145=1),$BK$185,HLOOKUP(INDIRECT(ADDRESS(2,COLUMN())),OFFSET($BN$2,0,0,ROW()-1,60),ROW()-1,FALSE))</f>
        <v>873.17</v>
      </c>
      <c r="BL44">
        <f ca="1">IF(AND(ISNUMBER($BL$185),$B$145=1),$BL$185,HLOOKUP(INDIRECT(ADDRESS(2,COLUMN())),OFFSET($BN$2,0,0,ROW()-1,60),ROW()-1,FALSE))</f>
        <v>803.34699999999998</v>
      </c>
      <c r="BM44" t="str">
        <f ca="1">IF(AND(ISNUMBER($BM$185),$B$145=1),$BM$185,HLOOKUP(INDIRECT(ADDRESS(2,COLUMN())),OFFSET($BN$2,0,0,ROW()-1,60),ROW()-1,FALSE))</f>
        <v/>
      </c>
      <c r="BN44">
        <f>13468.288</f>
        <v>13468.288</v>
      </c>
      <c r="BO44">
        <f>14749.968</f>
        <v>14749.968000000001</v>
      </c>
      <c r="BP44">
        <f>15681.273</f>
        <v>15681.272999999999</v>
      </c>
      <c r="BQ44">
        <f>14508.793</f>
        <v>14508.793</v>
      </c>
      <c r="BR44">
        <f>11164.917</f>
        <v>11164.916999999999</v>
      </c>
      <c r="BS44">
        <f>9688.745</f>
        <v>9688.7450000000008</v>
      </c>
      <c r="BT44">
        <f>8630.758</f>
        <v>8630.7579999999998</v>
      </c>
      <c r="BU44">
        <f>7645.472</f>
        <v>7645.4719999999998</v>
      </c>
      <c r="BV44">
        <f>7092.418</f>
        <v>7092.4179999999997</v>
      </c>
      <c r="BW44">
        <f>6960.324</f>
        <v>6960.3239999999996</v>
      </c>
      <c r="BX44">
        <f>7267.645</f>
        <v>7267.6450000000004</v>
      </c>
      <c r="BY44">
        <f>6852.195</f>
        <v>6852.1949999999997</v>
      </c>
      <c r="BZ44">
        <f>6188.816</f>
        <v>6188.8159999999998</v>
      </c>
      <c r="CA44">
        <f>6383.608</f>
        <v>6383.6080000000002</v>
      </c>
      <c r="CB44">
        <f>6615.202</f>
        <v>6615.2020000000002</v>
      </c>
      <c r="CC44">
        <f>6939.939</f>
        <v>6939.9390000000003</v>
      </c>
      <c r="CD44">
        <f>4708.511</f>
        <v>4708.5110000000004</v>
      </c>
      <c r="CE44">
        <f>3975.225</f>
        <v>3975.2249999999999</v>
      </c>
      <c r="CF44">
        <f>3516.922</f>
        <v>3516.922</v>
      </c>
      <c r="CG44">
        <f>3676.651</f>
        <v>3676.6509999999998</v>
      </c>
      <c r="CH44">
        <f>3346.31</f>
        <v>3346.31</v>
      </c>
      <c r="CI44">
        <f>3512.828</f>
        <v>3512.828</v>
      </c>
      <c r="CJ44">
        <f>3253.094</f>
        <v>3253.0940000000001</v>
      </c>
      <c r="CK44">
        <f>3244.247</f>
        <v>3244.2469999999998</v>
      </c>
      <c r="CL44">
        <f>3276.988</f>
        <v>3276.9879999999998</v>
      </c>
      <c r="CM44">
        <f>3107.076</f>
        <v>3107.076</v>
      </c>
      <c r="CN44">
        <f>3199.015</f>
        <v>3199.0149999999999</v>
      </c>
      <c r="CO44">
        <f>3261.298</f>
        <v>3261.2979999999998</v>
      </c>
      <c r="CP44">
        <f>3499.519</f>
        <v>3499.5189999999998</v>
      </c>
      <c r="CQ44">
        <f>3552.844</f>
        <v>3552.8440000000001</v>
      </c>
      <c r="CR44">
        <f>3084.658</f>
        <v>3084.6579999999999</v>
      </c>
      <c r="CS44">
        <f>2700.011</f>
        <v>2700.011</v>
      </c>
      <c r="CT44">
        <f>2609.38</f>
        <v>2609.38</v>
      </c>
      <c r="CU44">
        <f>2659.182</f>
        <v>2659.1819999999998</v>
      </c>
      <c r="CV44">
        <f>2165.539</f>
        <v>2165.5390000000002</v>
      </c>
      <c r="CW44">
        <f>2012.82</f>
        <v>2012.82</v>
      </c>
      <c r="CX44">
        <f>1982.523</f>
        <v>1982.5229999999999</v>
      </c>
      <c r="CY44">
        <f>1932.98</f>
        <v>1932.98</v>
      </c>
      <c r="CZ44">
        <f>1478.234</f>
        <v>1478.2339999999999</v>
      </c>
      <c r="DA44">
        <f>1399.428</f>
        <v>1399.4280000000001</v>
      </c>
      <c r="DB44">
        <f>1520.237</f>
        <v>1520.2370000000001</v>
      </c>
      <c r="DC44">
        <f>1570.062</f>
        <v>1570.0619999999999</v>
      </c>
      <c r="DD44">
        <f>1578.679</f>
        <v>1578.6790000000001</v>
      </c>
      <c r="DE44">
        <f>1367.284</f>
        <v>1367.2840000000001</v>
      </c>
      <c r="DF44">
        <f>1373.328</f>
        <v>1373.328</v>
      </c>
      <c r="DG44">
        <f>1078.062</f>
        <v>1078.0619999999999</v>
      </c>
      <c r="DH44">
        <f>988.138</f>
        <v>988.13800000000003</v>
      </c>
      <c r="DI44">
        <f>1006.981</f>
        <v>1006.981</v>
      </c>
      <c r="DJ44">
        <f>940.254</f>
        <v>940.25400000000002</v>
      </c>
      <c r="DK44">
        <f>1049.903</f>
        <v>1049.903</v>
      </c>
      <c r="DL44">
        <f>1110.759</f>
        <v>1110.759</v>
      </c>
      <c r="DM44">
        <f>1131.491</f>
        <v>1131.491</v>
      </c>
      <c r="DN44">
        <f>1197.728</f>
        <v>1197.7280000000001</v>
      </c>
      <c r="DO44">
        <f>1124.464</f>
        <v>1124.4639999999999</v>
      </c>
      <c r="DP44">
        <f>1048.55</f>
        <v>1048.55</v>
      </c>
      <c r="DQ44">
        <f>1260.842</f>
        <v>1260.8420000000001</v>
      </c>
      <c r="DR44">
        <f>1210.646</f>
        <v>1210.646</v>
      </c>
      <c r="DS44">
        <f>873.17</f>
        <v>873.17</v>
      </c>
      <c r="DT44">
        <f>803.347</f>
        <v>803.34699999999998</v>
      </c>
      <c r="DU44" t="str">
        <f>""</f>
        <v/>
      </c>
    </row>
    <row r="45" spans="1:125" x14ac:dyDescent="0.25">
      <c r="A45" t="str">
        <f>"                Zions Bancorp NA"</f>
        <v xml:space="preserve">                Zions Bancorp NA</v>
      </c>
      <c r="B45" t="str">
        <f>"ZION US Equity"</f>
        <v>ZION US Equity</v>
      </c>
      <c r="C45" t="str">
        <f t="shared" si="3"/>
        <v>FC471</v>
      </c>
      <c r="D45" t="str">
        <f t="shared" si="4"/>
        <v>FDIC_SECS_AVAIL_FOR_SALE_MKT_VAL</v>
      </c>
      <c r="E45" t="str">
        <f t="shared" si="5"/>
        <v>Dynamic</v>
      </c>
      <c r="F45" t="str">
        <f ca="1">IF(AND(ISNUMBER($F$186),$B$145=1),$F$186,HLOOKUP(INDIRECT(ADDRESS(2,COLUMN())),OFFSET($BN$2,0,0,ROW()-1,60),ROW()-1,FALSE))</f>
        <v/>
      </c>
      <c r="G45" t="str">
        <f ca="1">IF(AND(ISNUMBER($G$186),$B$145=1),$G$186,HLOOKUP(INDIRECT(ADDRESS(2,COLUMN())),OFFSET($BN$2,0,0,ROW()-1,60),ROW()-1,FALSE))</f>
        <v/>
      </c>
      <c r="H45">
        <f ca="1">IF(AND(ISNUMBER($H$186),$B$145=1),$H$186,HLOOKUP(INDIRECT(ADDRESS(2,COLUMN())),OFFSET($BN$2,0,0,ROW()-1,60),ROW()-1,FALSE))</f>
        <v>9483</v>
      </c>
      <c r="I45">
        <f ca="1">IF(AND(ISNUMBER($I$186),$B$145=1),$I$186,HLOOKUP(INDIRECT(ADDRESS(2,COLUMN())),OFFSET($BN$2,0,0,ROW()-1,60),ROW()-1,FALSE))</f>
        <v>9930.8469999999998</v>
      </c>
      <c r="J45">
        <f ca="1">IF(AND(ISNUMBER($J$186),$B$145=1),$J$186,HLOOKUP(INDIRECT(ADDRESS(2,COLUMN())),OFFSET($BN$2,0,0,ROW()-1,60),ROW()-1,FALSE))</f>
        <v>10300.379999999999</v>
      </c>
      <c r="K45">
        <f ca="1">IF(AND(ISNUMBER($K$186),$B$145=1),$K$186,HLOOKUP(INDIRECT(ADDRESS(2,COLUMN())),OFFSET($BN$2,0,0,ROW()-1,60),ROW()-1,FALSE))</f>
        <v>10147.437</v>
      </c>
      <c r="L45">
        <f ca="1">IF(AND(ISNUMBER($L$186),$B$145=1),$L$186,HLOOKUP(INDIRECT(ADDRESS(2,COLUMN())),OFFSET($BN$2,0,0,ROW()-1,60),ROW()-1,FALSE))</f>
        <v>10831.843999999999</v>
      </c>
      <c r="M45">
        <f ca="1">IF(AND(ISNUMBER($M$186),$B$145=1),$M$186,HLOOKUP(INDIRECT(ADDRESS(2,COLUMN())),OFFSET($BN$2,0,0,ROW()-1,60),ROW()-1,FALSE))</f>
        <v>11594.138000000001</v>
      </c>
      <c r="N45">
        <f ca="1">IF(AND(ISNUMBER($N$186),$B$145=1),$N$186,HLOOKUP(INDIRECT(ADDRESS(2,COLUMN())),OFFSET($BN$2,0,0,ROW()-1,60),ROW()-1,FALSE))</f>
        <v>11914.977000000001</v>
      </c>
      <c r="O45">
        <f ca="1">IF(AND(ISNUMBER($O$186),$B$145=1),$O$186,HLOOKUP(INDIRECT(ADDRESS(2,COLUMN())),OFFSET($BN$2,0,0,ROW()-1,60),ROW()-1,FALSE))</f>
        <v>23233.135999999999</v>
      </c>
      <c r="P45">
        <f ca="1">IF(AND(ISNUMBER($P$186),$B$145=1),$P$186,HLOOKUP(INDIRECT(ADDRESS(2,COLUMN())),OFFSET($BN$2,0,0,ROW()-1,60),ROW()-1,FALSE))</f>
        <v>25297.168000000001</v>
      </c>
      <c r="Q45">
        <f ca="1">IF(AND(ISNUMBER($Q$186),$B$145=1),$Q$186,HLOOKUP(INDIRECT(ADDRESS(2,COLUMN())),OFFSET($BN$2,0,0,ROW()-1,60),ROW()-1,FALSE))</f>
        <v>26145.45</v>
      </c>
      <c r="R45">
        <f ca="1">IF(AND(ISNUMBER($R$186),$B$145=1),$R$186,HLOOKUP(INDIRECT(ADDRESS(2,COLUMN())),OFFSET($BN$2,0,0,ROW()-1,60),ROW()-1,FALSE))</f>
        <v>24048.121999999999</v>
      </c>
      <c r="S45">
        <f ca="1">IF(AND(ISNUMBER($S$186),$B$145=1),$S$186,HLOOKUP(INDIRECT(ADDRESS(2,COLUMN())),OFFSET($BN$2,0,0,ROW()-1,60),ROW()-1,FALSE))</f>
        <v>20461.117999999999</v>
      </c>
      <c r="T45">
        <f ca="1">IF(AND(ISNUMBER($T$186),$B$145=1),$T$186,HLOOKUP(INDIRECT(ADDRESS(2,COLUMN())),OFFSET($BN$2,0,0,ROW()-1,60),ROW()-1,FALSE))</f>
        <v>18170.403999999999</v>
      </c>
      <c r="U45">
        <f ca="1">IF(AND(ISNUMBER($U$186),$B$145=1),$U$186,HLOOKUP(INDIRECT(ADDRESS(2,COLUMN())),OFFSET($BN$2,0,0,ROW()-1,60),ROW()-1,FALSE))</f>
        <v>16643.615000000002</v>
      </c>
      <c r="V45" t="str">
        <f ca="1">IF(AND(ISNUMBER($V$186),$B$145=1),$V$186,HLOOKUP(INDIRECT(ADDRESS(2,COLUMN())),OFFSET($BN$2,0,0,ROW()-1,60),ROW()-1,FALSE))</f>
        <v/>
      </c>
      <c r="W45" t="str">
        <f ca="1">IF(AND(ISNUMBER($W$186),$B$145=1),$W$186,HLOOKUP(INDIRECT(ADDRESS(2,COLUMN())),OFFSET($BN$2,0,0,ROW()-1,60),ROW()-1,FALSE))</f>
        <v/>
      </c>
      <c r="X45" t="str">
        <f ca="1">IF(AND(ISNUMBER($X$186),$B$145=1),$X$186,HLOOKUP(INDIRECT(ADDRESS(2,COLUMN())),OFFSET($BN$2,0,0,ROW()-1,60),ROW()-1,FALSE))</f>
        <v/>
      </c>
      <c r="Y45" t="str">
        <f ca="1">IF(AND(ISNUMBER($Y$186),$B$145=1),$Y$186,HLOOKUP(INDIRECT(ADDRESS(2,COLUMN())),OFFSET($BN$2,0,0,ROW()-1,60),ROW()-1,FALSE))</f>
        <v/>
      </c>
      <c r="Z45" t="str">
        <f ca="1">IF(AND(ISNUMBER($Z$186),$B$145=1),$Z$186,HLOOKUP(INDIRECT(ADDRESS(2,COLUMN())),OFFSET($BN$2,0,0,ROW()-1,60),ROW()-1,FALSE))</f>
        <v/>
      </c>
      <c r="AA45" t="str">
        <f ca="1">IF(AND(ISNUMBER($AA$186),$B$145=1),$AA$186,HLOOKUP(INDIRECT(ADDRESS(2,COLUMN())),OFFSET($BN$2,0,0,ROW()-1,60),ROW()-1,FALSE))</f>
        <v/>
      </c>
      <c r="AB45" t="str">
        <f ca="1">IF(AND(ISNUMBER($AB$186),$B$145=1),$AB$186,HLOOKUP(INDIRECT(ADDRESS(2,COLUMN())),OFFSET($BN$2,0,0,ROW()-1,60),ROW()-1,FALSE))</f>
        <v/>
      </c>
      <c r="AC45" t="str">
        <f ca="1">IF(AND(ISNUMBER($AC$186),$B$145=1),$AC$186,HLOOKUP(INDIRECT(ADDRESS(2,COLUMN())),OFFSET($BN$2,0,0,ROW()-1,60),ROW()-1,FALSE))</f>
        <v/>
      </c>
      <c r="AD45" t="str">
        <f ca="1">IF(AND(ISNUMBER($AD$186),$B$145=1),$AD$186,HLOOKUP(INDIRECT(ADDRESS(2,COLUMN())),OFFSET($BN$2,0,0,ROW()-1,60),ROW()-1,FALSE))</f>
        <v/>
      </c>
      <c r="AE45" t="str">
        <f ca="1">IF(AND(ISNUMBER($AE$186),$B$145=1),$AE$186,HLOOKUP(INDIRECT(ADDRESS(2,COLUMN())),OFFSET($BN$2,0,0,ROW()-1,60),ROW()-1,FALSE))</f>
        <v/>
      </c>
      <c r="AF45" t="str">
        <f ca="1">IF(AND(ISNUMBER($AF$186),$B$145=1),$AF$186,HLOOKUP(INDIRECT(ADDRESS(2,COLUMN())),OFFSET($BN$2,0,0,ROW()-1,60),ROW()-1,FALSE))</f>
        <v/>
      </c>
      <c r="AG45" t="str">
        <f ca="1">IF(AND(ISNUMBER($AG$186),$B$145=1),$AG$186,HLOOKUP(INDIRECT(ADDRESS(2,COLUMN())),OFFSET($BN$2,0,0,ROW()-1,60),ROW()-1,FALSE))</f>
        <v/>
      </c>
      <c r="AH45" t="str">
        <f ca="1">IF(AND(ISNUMBER($AH$186),$B$145=1),$AH$186,HLOOKUP(INDIRECT(ADDRESS(2,COLUMN())),OFFSET($BN$2,0,0,ROW()-1,60),ROW()-1,FALSE))</f>
        <v/>
      </c>
      <c r="AI45" t="str">
        <f ca="1">IF(AND(ISNUMBER($AI$186),$B$145=1),$AI$186,HLOOKUP(INDIRECT(ADDRESS(2,COLUMN())),OFFSET($BN$2,0,0,ROW()-1,60),ROW()-1,FALSE))</f>
        <v/>
      </c>
      <c r="AJ45" t="str">
        <f ca="1">IF(AND(ISNUMBER($AJ$186),$B$145=1),$AJ$186,HLOOKUP(INDIRECT(ADDRESS(2,COLUMN())),OFFSET($BN$2,0,0,ROW()-1,60),ROW()-1,FALSE))</f>
        <v/>
      </c>
      <c r="AK45" t="str">
        <f ca="1">IF(AND(ISNUMBER($AK$186),$B$145=1),$AK$186,HLOOKUP(INDIRECT(ADDRESS(2,COLUMN())),OFFSET($BN$2,0,0,ROW()-1,60),ROW()-1,FALSE))</f>
        <v/>
      </c>
      <c r="AL45" t="str">
        <f ca="1">IF(AND(ISNUMBER($AL$186),$B$145=1),$AL$186,HLOOKUP(INDIRECT(ADDRESS(2,COLUMN())),OFFSET($BN$2,0,0,ROW()-1,60),ROW()-1,FALSE))</f>
        <v/>
      </c>
      <c r="AM45" t="str">
        <f ca="1">IF(AND(ISNUMBER($AM$186),$B$145=1),$AM$186,HLOOKUP(INDIRECT(ADDRESS(2,COLUMN())),OFFSET($BN$2,0,0,ROW()-1,60),ROW()-1,FALSE))</f>
        <v/>
      </c>
      <c r="AN45" t="str">
        <f ca="1">IF(AND(ISNUMBER($AN$186),$B$145=1),$AN$186,HLOOKUP(INDIRECT(ADDRESS(2,COLUMN())),OFFSET($BN$2,0,0,ROW()-1,60),ROW()-1,FALSE))</f>
        <v/>
      </c>
      <c r="AO45" t="str">
        <f ca="1">IF(AND(ISNUMBER($AO$186),$B$145=1),$AO$186,HLOOKUP(INDIRECT(ADDRESS(2,COLUMN())),OFFSET($BN$2,0,0,ROW()-1,60),ROW()-1,FALSE))</f>
        <v/>
      </c>
      <c r="AP45" t="str">
        <f ca="1">IF(AND(ISNUMBER($AP$186),$B$145=1),$AP$186,HLOOKUP(INDIRECT(ADDRESS(2,COLUMN())),OFFSET($BN$2,0,0,ROW()-1,60),ROW()-1,FALSE))</f>
        <v/>
      </c>
      <c r="AQ45" t="str">
        <f ca="1">IF(AND(ISNUMBER($AQ$186),$B$145=1),$AQ$186,HLOOKUP(INDIRECT(ADDRESS(2,COLUMN())),OFFSET($BN$2,0,0,ROW()-1,60),ROW()-1,FALSE))</f>
        <v/>
      </c>
      <c r="AR45" t="str">
        <f ca="1">IF(AND(ISNUMBER($AR$186),$B$145=1),$AR$186,HLOOKUP(INDIRECT(ADDRESS(2,COLUMN())),OFFSET($BN$2,0,0,ROW()-1,60),ROW()-1,FALSE))</f>
        <v/>
      </c>
      <c r="AS45" t="str">
        <f ca="1">IF(AND(ISNUMBER($AS$186),$B$145=1),$AS$186,HLOOKUP(INDIRECT(ADDRESS(2,COLUMN())),OFFSET($BN$2,0,0,ROW()-1,60),ROW()-1,FALSE))</f>
        <v/>
      </c>
      <c r="AT45" t="str">
        <f ca="1">IF(AND(ISNUMBER($AT$186),$B$145=1),$AT$186,HLOOKUP(INDIRECT(ADDRESS(2,COLUMN())),OFFSET($BN$2,0,0,ROW()-1,60),ROW()-1,FALSE))</f>
        <v/>
      </c>
      <c r="AU45" t="str">
        <f ca="1">IF(AND(ISNUMBER($AU$186),$B$145=1),$AU$186,HLOOKUP(INDIRECT(ADDRESS(2,COLUMN())),OFFSET($BN$2,0,0,ROW()-1,60),ROW()-1,FALSE))</f>
        <v/>
      </c>
      <c r="AV45" t="str">
        <f ca="1">IF(AND(ISNUMBER($AV$186),$B$145=1),$AV$186,HLOOKUP(INDIRECT(ADDRESS(2,COLUMN())),OFFSET($BN$2,0,0,ROW()-1,60),ROW()-1,FALSE))</f>
        <v/>
      </c>
      <c r="AW45" t="str">
        <f ca="1">IF(AND(ISNUMBER($AW$186),$B$145=1),$AW$186,HLOOKUP(INDIRECT(ADDRESS(2,COLUMN())),OFFSET($BN$2,0,0,ROW()-1,60),ROW()-1,FALSE))</f>
        <v/>
      </c>
      <c r="AX45" t="str">
        <f ca="1">IF(AND(ISNUMBER($AX$186),$B$145=1),$AX$186,HLOOKUP(INDIRECT(ADDRESS(2,COLUMN())),OFFSET($BN$2,0,0,ROW()-1,60),ROW()-1,FALSE))</f>
        <v/>
      </c>
      <c r="AY45" t="str">
        <f ca="1">IF(AND(ISNUMBER($AY$186),$B$145=1),$AY$186,HLOOKUP(INDIRECT(ADDRESS(2,COLUMN())),OFFSET($BN$2,0,0,ROW()-1,60),ROW()-1,FALSE))</f>
        <v/>
      </c>
      <c r="AZ45" t="str">
        <f ca="1">IF(AND(ISNUMBER($AZ$186),$B$145=1),$AZ$186,HLOOKUP(INDIRECT(ADDRESS(2,COLUMN())),OFFSET($BN$2,0,0,ROW()-1,60),ROW()-1,FALSE))</f>
        <v/>
      </c>
      <c r="BA45" t="str">
        <f ca="1">IF(AND(ISNUMBER($BA$186),$B$145=1),$BA$186,HLOOKUP(INDIRECT(ADDRESS(2,COLUMN())),OFFSET($BN$2,0,0,ROW()-1,60),ROW()-1,FALSE))</f>
        <v/>
      </c>
      <c r="BB45" t="str">
        <f ca="1">IF(AND(ISNUMBER($BB$186),$B$145=1),$BB$186,HLOOKUP(INDIRECT(ADDRESS(2,COLUMN())),OFFSET($BN$2,0,0,ROW()-1,60),ROW()-1,FALSE))</f>
        <v/>
      </c>
      <c r="BC45" t="str">
        <f ca="1">IF(AND(ISNUMBER($BC$186),$B$145=1),$BC$186,HLOOKUP(INDIRECT(ADDRESS(2,COLUMN())),OFFSET($BN$2,0,0,ROW()-1,60),ROW()-1,FALSE))</f>
        <v/>
      </c>
      <c r="BD45" t="str">
        <f ca="1">IF(AND(ISNUMBER($BD$186),$B$145=1),$BD$186,HLOOKUP(INDIRECT(ADDRESS(2,COLUMN())),OFFSET($BN$2,0,0,ROW()-1,60),ROW()-1,FALSE))</f>
        <v/>
      </c>
      <c r="BE45" t="str">
        <f ca="1">IF(AND(ISNUMBER($BE$186),$B$145=1),$BE$186,HLOOKUP(INDIRECT(ADDRESS(2,COLUMN())),OFFSET($BN$2,0,0,ROW()-1,60),ROW()-1,FALSE))</f>
        <v/>
      </c>
      <c r="BF45" t="str">
        <f ca="1">IF(AND(ISNUMBER($BF$186),$B$145=1),$BF$186,HLOOKUP(INDIRECT(ADDRESS(2,COLUMN())),OFFSET($BN$2,0,0,ROW()-1,60),ROW()-1,FALSE))</f>
        <v/>
      </c>
      <c r="BG45" t="str">
        <f ca="1">IF(AND(ISNUMBER($BG$186),$B$145=1),$BG$186,HLOOKUP(INDIRECT(ADDRESS(2,COLUMN())),OFFSET($BN$2,0,0,ROW()-1,60),ROW()-1,FALSE))</f>
        <v/>
      </c>
      <c r="BH45" t="str">
        <f ca="1">IF(AND(ISNUMBER($BH$186),$B$145=1),$BH$186,HLOOKUP(INDIRECT(ADDRESS(2,COLUMN())),OFFSET($BN$2,0,0,ROW()-1,60),ROW()-1,FALSE))</f>
        <v/>
      </c>
      <c r="BI45" t="str">
        <f ca="1">IF(AND(ISNUMBER($BI$186),$B$145=1),$BI$186,HLOOKUP(INDIRECT(ADDRESS(2,COLUMN())),OFFSET($BN$2,0,0,ROW()-1,60),ROW()-1,FALSE))</f>
        <v/>
      </c>
      <c r="BJ45" t="str">
        <f ca="1">IF(AND(ISNUMBER($BJ$186),$B$145=1),$BJ$186,HLOOKUP(INDIRECT(ADDRESS(2,COLUMN())),OFFSET($BN$2,0,0,ROW()-1,60),ROW()-1,FALSE))</f>
        <v/>
      </c>
      <c r="BK45" t="str">
        <f ca="1">IF(AND(ISNUMBER($BK$186),$B$145=1),$BK$186,HLOOKUP(INDIRECT(ADDRESS(2,COLUMN())),OFFSET($BN$2,0,0,ROW()-1,60),ROW()-1,FALSE))</f>
        <v/>
      </c>
      <c r="BL45" t="str">
        <f ca="1">IF(AND(ISNUMBER($BL$186),$B$145=1),$BL$186,HLOOKUP(INDIRECT(ADDRESS(2,COLUMN())),OFFSET($BN$2,0,0,ROW()-1,60),ROW()-1,FALSE))</f>
        <v/>
      </c>
      <c r="BM45" t="str">
        <f ca="1">IF(AND(ISNUMBER($BM$186),$B$145=1),$BM$186,HLOOKUP(INDIRECT(ADDRESS(2,COLUMN())),OFFSET($BN$2,0,0,ROW()-1,60),ROW()-1,FALSE))</f>
        <v/>
      </c>
      <c r="BN45" t="str">
        <f>""</f>
        <v/>
      </c>
      <c r="BO45" t="str">
        <f>""</f>
        <v/>
      </c>
      <c r="BP45">
        <f>9483</f>
        <v>9483</v>
      </c>
      <c r="BQ45">
        <f>9930.847</f>
        <v>9930.8469999999998</v>
      </c>
      <c r="BR45">
        <f>10300.38</f>
        <v>10300.379999999999</v>
      </c>
      <c r="BS45">
        <f>10147.437</f>
        <v>10147.437</v>
      </c>
      <c r="BT45">
        <f>10831.844</f>
        <v>10831.843999999999</v>
      </c>
      <c r="BU45">
        <f>11594.138</f>
        <v>11594.138000000001</v>
      </c>
      <c r="BV45">
        <f>11914.977</f>
        <v>11914.977000000001</v>
      </c>
      <c r="BW45">
        <f>23233.136</f>
        <v>23233.135999999999</v>
      </c>
      <c r="BX45">
        <f>25297.168</f>
        <v>25297.168000000001</v>
      </c>
      <c r="BY45">
        <f>26145.45</f>
        <v>26145.45</v>
      </c>
      <c r="BZ45">
        <f>24048.122</f>
        <v>24048.121999999999</v>
      </c>
      <c r="CA45">
        <f>20461.118</f>
        <v>20461.117999999999</v>
      </c>
      <c r="CB45">
        <f>18170.404</f>
        <v>18170.403999999999</v>
      </c>
      <c r="CC45">
        <f>16643.615</f>
        <v>16643.615000000002</v>
      </c>
      <c r="CD45" t="str">
        <f>""</f>
        <v/>
      </c>
      <c r="CE45" t="str">
        <f>""</f>
        <v/>
      </c>
      <c r="CF45" t="str">
        <f>""</f>
        <v/>
      </c>
      <c r="CG45" t="str">
        <f>""</f>
        <v/>
      </c>
      <c r="CH45" t="str">
        <f>""</f>
        <v/>
      </c>
      <c r="CI45" t="str">
        <f>""</f>
        <v/>
      </c>
      <c r="CJ45" t="str">
        <f>""</f>
        <v/>
      </c>
      <c r="CK45" t="str">
        <f>""</f>
        <v/>
      </c>
      <c r="CL45" t="str">
        <f>""</f>
        <v/>
      </c>
      <c r="CM45" t="str">
        <f>""</f>
        <v/>
      </c>
      <c r="CN45" t="str">
        <f>""</f>
        <v/>
      </c>
      <c r="CO45" t="str">
        <f>""</f>
        <v/>
      </c>
      <c r="CP45" t="str">
        <f>""</f>
        <v/>
      </c>
      <c r="CQ45" t="str">
        <f>""</f>
        <v/>
      </c>
      <c r="CR45" t="str">
        <f>""</f>
        <v/>
      </c>
      <c r="CS45" t="str">
        <f>""</f>
        <v/>
      </c>
      <c r="CT45" t="str">
        <f>""</f>
        <v/>
      </c>
      <c r="CU45" t="str">
        <f>""</f>
        <v/>
      </c>
      <c r="CV45" t="str">
        <f>""</f>
        <v/>
      </c>
      <c r="CW45" t="str">
        <f>""</f>
        <v/>
      </c>
      <c r="CX45" t="str">
        <f>""</f>
        <v/>
      </c>
      <c r="CY45" t="str">
        <f>""</f>
        <v/>
      </c>
      <c r="CZ45" t="str">
        <f>""</f>
        <v/>
      </c>
      <c r="DA45" t="str">
        <f>""</f>
        <v/>
      </c>
      <c r="DB45" t="str">
        <f>""</f>
        <v/>
      </c>
      <c r="DC45" t="str">
        <f>""</f>
        <v/>
      </c>
      <c r="DD45" t="str">
        <f>""</f>
        <v/>
      </c>
      <c r="DE45" t="str">
        <f>""</f>
        <v/>
      </c>
      <c r="DF45" t="str">
        <f>""</f>
        <v/>
      </c>
      <c r="DG45" t="str">
        <f>""</f>
        <v/>
      </c>
      <c r="DH45" t="str">
        <f>""</f>
        <v/>
      </c>
      <c r="DI45" t="str">
        <f>""</f>
        <v/>
      </c>
      <c r="DJ45" t="str">
        <f>""</f>
        <v/>
      </c>
      <c r="DK45" t="str">
        <f>""</f>
        <v/>
      </c>
      <c r="DL45" t="str">
        <f>""</f>
        <v/>
      </c>
      <c r="DM45" t="str">
        <f>""</f>
        <v/>
      </c>
      <c r="DN45" t="str">
        <f>""</f>
        <v/>
      </c>
      <c r="DO45" t="str">
        <f>""</f>
        <v/>
      </c>
      <c r="DP45" t="str">
        <f>""</f>
        <v/>
      </c>
      <c r="DQ45" t="str">
        <f>""</f>
        <v/>
      </c>
      <c r="DR45" t="str">
        <f>""</f>
        <v/>
      </c>
      <c r="DS45" t="str">
        <f>""</f>
        <v/>
      </c>
      <c r="DT45" t="str">
        <f>""</f>
        <v/>
      </c>
      <c r="DU45" t="str">
        <f>""</f>
        <v/>
      </c>
    </row>
    <row r="46" spans="1:125" x14ac:dyDescent="0.25">
      <c r="A46" t="str">
        <f>"            Securities By Company"</f>
        <v xml:space="preserve">            Securities By Company</v>
      </c>
      <c r="B46" t="str">
        <f>""</f>
        <v/>
      </c>
      <c r="E46" t="str">
        <f>"Sum"</f>
        <v>Sum</v>
      </c>
      <c r="F46">
        <f ca="1">IF(ISERROR(IF(SUM($F$47:$F$66) = 0, "", SUM($F$47:$F$66))), "", (IF(SUM($F$47:$F$66) = 0, "", SUM($F$47:$F$66))))</f>
        <v>3112187.0589999999</v>
      </c>
      <c r="G46">
        <f ca="1">IF(ISERROR(IF(SUM($G$47:$G$66) = 0, "", SUM($G$47:$G$66))), "", (IF(SUM($G$47:$G$66) = 0, "", SUM($G$47:$G$66))))</f>
        <v>3246324.3680000007</v>
      </c>
      <c r="H46">
        <f ca="1">IF(ISERROR(IF(SUM($H$47:$H$66) = 0, "", SUM($H$47:$H$66))), "", (IF(SUM($H$47:$H$66) = 0, "", SUM($H$47:$H$66))))</f>
        <v>3190179.1539999996</v>
      </c>
      <c r="I46">
        <f ca="1">IF(ISERROR(IF(SUM($I$47:$I$66) = 0, "", SUM($I$47:$I$66))), "", (IF(SUM($I$47:$I$66) = 0, "", SUM($I$47:$I$66))))</f>
        <v>3194739.4639999997</v>
      </c>
      <c r="J46">
        <f ca="1">IF(ISERROR(IF(SUM($J$47:$J$66) = 0, "", SUM($J$47:$J$66))), "", (IF(SUM($J$47:$J$66) = 0, "", SUM($J$47:$J$66))))</f>
        <v>3146521.3119999999</v>
      </c>
      <c r="K46">
        <f ca="1">IF(ISERROR(IF(SUM($K$47:$K$66) = 0, "", SUM($K$47:$K$66))), "", (IF(SUM($K$47:$K$66) = 0, "", SUM($K$47:$K$66))))</f>
        <v>3032681.3290000004</v>
      </c>
      <c r="L46">
        <f ca="1">IF(ISERROR(IF(SUM($L$47:$L$66) = 0, "", SUM($L$47:$L$66))), "", (IF(SUM($L$47:$L$66) = 0, "", SUM($L$47:$L$66))))</f>
        <v>3066093.9850000003</v>
      </c>
      <c r="M46">
        <f ca="1">IF(ISERROR(IF(SUM($M$47:$M$66) = 0, "", SUM($M$47:$M$66))), "", (IF(SUM($M$47:$M$66) = 0, "", SUM($M$47:$M$66))))</f>
        <v>3137649.923</v>
      </c>
      <c r="N46">
        <f ca="1">IF(ISERROR(IF(SUM($N$47:$N$66) = 0, "", SUM($N$47:$N$66))), "", (IF(SUM($N$47:$N$66) = 0, "", SUM($N$47:$N$66))))</f>
        <v>3231496.8130000001</v>
      </c>
      <c r="O46">
        <f ca="1">IF(ISERROR(IF(SUM($O$47:$O$66) = 0, "", SUM($O$47:$O$66))), "", (IF(SUM($O$47:$O$66) = 0, "", SUM($O$47:$O$66))))</f>
        <v>3209716.5260000001</v>
      </c>
      <c r="P46">
        <f ca="1">IF(ISERROR(IF(SUM($P$47:$P$66) = 0, "", SUM($P$47:$P$66))), "", (IF(SUM($P$47:$P$66) = 0, "", SUM($P$47:$P$66))))</f>
        <v>3352786.3460000008</v>
      </c>
      <c r="Q46">
        <f ca="1">IF(ISERROR(IF(SUM($Q$47:$Q$66) = 0, "", SUM($Q$47:$Q$66))), "", (IF(SUM($Q$47:$Q$66) = 0, "", SUM($Q$47:$Q$66))))</f>
        <v>3424033.2820000001</v>
      </c>
      <c r="R46">
        <f ca="1">IF(ISERROR(IF(SUM($R$47:$R$66) = 0, "", SUM($R$47:$R$66))), "", (IF(SUM($R$47:$R$66) = 0, "", SUM($R$47:$R$66))))</f>
        <v>3427075.2750000004</v>
      </c>
      <c r="S46">
        <f ca="1">IF(ISERROR(IF(SUM($S$47:$S$66) = 0, "", SUM($S$47:$S$66))), "", (IF(SUM($S$47:$S$66) = 0, "", SUM($S$47:$S$66))))</f>
        <v>3273918.4810000006</v>
      </c>
      <c r="T46">
        <f ca="1">IF(ISERROR(IF(SUM($T$47:$T$66) = 0, "", SUM($T$47:$T$66))), "", (IF(SUM($T$47:$T$66) = 0, "", SUM($T$47:$T$66))))</f>
        <v>3200229.1480000005</v>
      </c>
      <c r="U46">
        <f ca="1">IF(ISERROR(IF(SUM($U$47:$U$66) = 0, "", SUM($U$47:$U$66))), "", (IF(SUM($U$47:$U$66) = 0, "", SUM($U$47:$U$66))))</f>
        <v>3046941.7170000002</v>
      </c>
      <c r="V46">
        <f ca="1">IF(ISERROR(IF(SUM($V$47:$V$66) = 0, "", SUM($V$47:$V$66))), "", (IF(SUM($V$47:$V$66) = 0, "", SUM($V$47:$V$66))))</f>
        <v>2771134.9200000004</v>
      </c>
      <c r="W46">
        <f ca="1">IF(ISERROR(IF(SUM($W$47:$W$66) = 0, "", SUM($W$47:$W$66))), "", (IF(SUM($W$47:$W$66) = 0, "", SUM($W$47:$W$66))))</f>
        <v>2549648.7309999997</v>
      </c>
      <c r="X46">
        <f ca="1">IF(ISERROR(IF(SUM($X$47:$X$66) = 0, "", SUM($X$47:$X$66))), "", (IF(SUM($X$47:$X$66) = 0, "", SUM($X$47:$X$66))))</f>
        <v>2416273.9110000003</v>
      </c>
      <c r="Y46">
        <f ca="1">IF(ISERROR(IF(SUM($Y$47:$Y$66) = 0, "", SUM($Y$47:$Y$66))), "", (IF(SUM($Y$47:$Y$66) = 0, "", SUM($Y$47:$Y$66))))</f>
        <v>2300869.108</v>
      </c>
      <c r="Z46">
        <f ca="1">IF(ISERROR(IF(SUM($Z$47:$Z$66) = 0, "", SUM($Z$47:$Z$66))), "", (IF(SUM($Z$47:$Z$66) = 0, "", SUM($Z$47:$Z$66))))</f>
        <v>2176702.1329999999</v>
      </c>
      <c r="AA46">
        <f ca="1">IF(ISERROR(IF(SUM($AA$47:$AA$66) = 0, "", SUM($AA$47:$AA$66))), "", (IF(SUM($AA$47:$AA$66) = 0, "", SUM($AA$47:$AA$66))))</f>
        <v>2128858.5719999997</v>
      </c>
      <c r="AB46">
        <f ca="1">IF(ISERROR(IF(SUM($AB$47:$AB$66) = 0, "", SUM($AB$47:$AB$66))), "", (IF(SUM($AB$47:$AB$66) = 0, "", SUM($AB$47:$AB$66))))</f>
        <v>2004431.0270000002</v>
      </c>
      <c r="AC46">
        <f ca="1">IF(ISERROR(IF(SUM($AC$47:$AC$66) = 0, "", SUM($AC$47:$AC$66))), "", (IF(SUM($AC$47:$AC$66) = 0, "", SUM($AC$47:$AC$66))))</f>
        <v>1958442.8840000001</v>
      </c>
      <c r="AD46">
        <f ca="1">IF(ISERROR(IF(SUM($AD$47:$AD$66) = 0, "", SUM($AD$47:$AD$66))), "", (IF(SUM($AD$47:$AD$66) = 0, "", SUM($AD$47:$AD$66))))</f>
        <v>1956848.5009999995</v>
      </c>
      <c r="AE46">
        <f ca="1">IF(ISERROR(IF(SUM($AE$47:$AE$66) = 0, "", SUM($AE$47:$AE$66))), "", (IF(SUM($AE$47:$AE$66) = 0, "", SUM($AE$47:$AE$66))))</f>
        <v>1899709.0659999996</v>
      </c>
      <c r="AF46">
        <f ca="1">IF(ISERROR(IF(SUM($AF$47:$AF$66) = 0, "", SUM($AF$47:$AF$66))), "", (IF(SUM($AF$47:$AF$66) = 0, "", SUM($AF$47:$AF$66))))</f>
        <v>1903562.7719999999</v>
      </c>
      <c r="AG46">
        <f ca="1">IF(ISERROR(IF(SUM($AG$47:$AG$66) = 0, "", SUM($AG$47:$AG$66))), "", (IF(SUM($AG$47:$AG$66) = 0, "", SUM($AG$47:$AG$66))))</f>
        <v>1888906.0800000003</v>
      </c>
      <c r="AH46">
        <f ca="1">IF(ISERROR(IF(SUM($AH$47:$AH$66) = 0, "", SUM($AH$47:$AH$66))), "", (IF(SUM($AH$47:$AH$66) = 0, "", SUM($AH$47:$AH$66))))</f>
        <v>1923350.078</v>
      </c>
      <c r="AI46">
        <f ca="1">IF(ISERROR(IF(SUM($AI$47:$AI$66) = 0, "", SUM($AI$47:$AI$66))), "", (IF(SUM($AI$47:$AI$66) = 0, "", SUM($AI$47:$AI$66))))</f>
        <v>1928129.7179999994</v>
      </c>
      <c r="AJ46">
        <f ca="1">IF(ISERROR(IF(SUM($AJ$47:$AJ$66) = 0, "", SUM($AJ$47:$AJ$66))), "", (IF(SUM($AJ$47:$AJ$66) = 0, "", SUM($AJ$47:$AJ$66))))</f>
        <v>1915609.1589999998</v>
      </c>
      <c r="AK46">
        <f ca="1">IF(ISERROR(IF(SUM($AK$47:$AK$66) = 0, "", SUM($AK$47:$AK$66))), "", (IF(SUM($AK$47:$AK$66) = 0, "", SUM($AK$47:$AK$66))))</f>
        <v>1918924.078</v>
      </c>
      <c r="AL46">
        <f ca="1">IF(ISERROR(IF(SUM($AL$47:$AL$66) = 0, "", SUM($AL$47:$AL$66))), "", (IF(SUM($AL$47:$AL$66) = 0, "", SUM($AL$47:$AL$66))))</f>
        <v>1930040.8949999998</v>
      </c>
      <c r="AM46">
        <f ca="1">IF(ISERROR(IF(SUM($AM$47:$AM$66) = 0, "", SUM($AM$47:$AM$66))), "", (IF(SUM($AM$47:$AM$66) = 0, "", SUM($AM$47:$AM$66))))</f>
        <v>1902925.2609999999</v>
      </c>
      <c r="AN46">
        <f ca="1">IF(ISERROR(IF(SUM($AN$47:$AN$66) = 0, "", SUM($AN$47:$AN$66))), "", (IF(SUM($AN$47:$AN$66) = 0, "", SUM($AN$47:$AN$66))))</f>
        <v>1828865.0720000002</v>
      </c>
      <c r="AO46">
        <f ca="1">IF(ISERROR(IF(SUM($AO$47:$AO$66) = 0, "", SUM($AO$47:$AO$66))), "", (IF(SUM($AO$47:$AO$66) = 0, "", SUM($AO$47:$AO$66))))</f>
        <v>1800237.0569999998</v>
      </c>
      <c r="AP46">
        <f ca="1">IF(ISERROR(IF(SUM($AP$47:$AP$66) = 0, "", SUM($AP$47:$AP$66))), "", (IF(SUM($AP$47:$AP$66) = 0, "", SUM($AP$47:$AP$66))))</f>
        <v>1805765.949</v>
      </c>
      <c r="AQ46">
        <f ca="1">IF(ISERROR(IF(SUM($AQ$47:$AQ$66) = 0, "", SUM($AQ$47:$AQ$66))), "", (IF(SUM($AQ$47:$AQ$66) = 0, "", SUM($AQ$47:$AQ$66))))</f>
        <v>1785497.0779999997</v>
      </c>
      <c r="AR46">
        <f ca="1">IF(ISERROR(IF(SUM($AR$47:$AR$66) = 0, "", SUM($AR$47:$AR$66))), "", (IF(SUM($AR$47:$AR$66) = 0, "", SUM($AR$47:$AR$66))))</f>
        <v>1762420.3190000001</v>
      </c>
      <c r="AS46">
        <f ca="1">IF(ISERROR(IF(SUM($AS$47:$AS$66) = 0, "", SUM($AS$47:$AS$66))), "", (IF(SUM($AS$47:$AS$66) = 0, "", SUM($AS$47:$AS$66))))</f>
        <v>1741122.5350000001</v>
      </c>
      <c r="AT46">
        <f ca="1">IF(ISERROR(IF(SUM($AT$47:$AT$66) = 0, "", SUM($AT$47:$AT$66))), "", (IF(SUM($AT$47:$AT$66) = 0, "", SUM($AT$47:$AT$66))))</f>
        <v>1732236.787</v>
      </c>
      <c r="AU46">
        <f ca="1">IF(ISERROR(IF(SUM($AU$47:$AU$66) = 0, "", SUM($AU$47:$AU$66))), "", (IF(SUM($AU$47:$AU$66) = 0, "", SUM($AU$47:$AU$66))))</f>
        <v>1701352.7419999994</v>
      </c>
      <c r="AV46">
        <f ca="1">IF(ISERROR(IF(SUM($AV$47:$AV$66) = 0, "", SUM($AV$47:$AV$66))), "", (IF(SUM($AV$47:$AV$66) = 0, "", SUM($AV$47:$AV$66))))</f>
        <v>1655986.2890000001</v>
      </c>
      <c r="AW46">
        <f ca="1">IF(ISERROR(IF(SUM($AW$47:$AW$66) = 0, "", SUM($AW$47:$AW$66))), "", (IF(SUM($AW$47:$AW$66) = 0, "", SUM($AW$47:$AW$66))))</f>
        <v>1610004.3450000002</v>
      </c>
      <c r="AX46">
        <f ca="1">IF(ISERROR(IF(SUM($AX$47:$AX$66) = 0, "", SUM($AX$47:$AX$66))), "", (IF(SUM($AX$47:$AX$66) = 0, "", SUM($AX$47:$AX$66))))</f>
        <v>1574893.6489999997</v>
      </c>
      <c r="AY46">
        <f ca="1">IF(ISERROR(IF(SUM($AY$47:$AY$66) = 0, "", SUM($AY$47:$AY$66))), "", (IF(SUM($AY$47:$AY$66) = 0, "", SUM($AY$47:$AY$66))))</f>
        <v>1550187.6910000001</v>
      </c>
      <c r="AZ46">
        <f ca="1">IF(ISERROR(IF(SUM($AZ$47:$AZ$66) = 0, "", SUM($AZ$47:$AZ$66))), "", (IF(SUM($AZ$47:$AZ$66) = 0, "", SUM($AZ$47:$AZ$66))))</f>
        <v>1533091.1339999996</v>
      </c>
      <c r="BA46">
        <f ca="1">IF(ISERROR(IF(SUM($BA$47:$BA$66) = 0, "", SUM($BA$47:$BA$66))), "", (IF(SUM($BA$47:$BA$66) = 0, "", SUM($BA$47:$BA$66))))</f>
        <v>1569949.2240000006</v>
      </c>
      <c r="BB46">
        <f ca="1">IF(ISERROR(IF(SUM($BB$47:$BB$66) = 0, "", SUM($BB$47:$BB$66))), "", (IF(SUM($BB$47:$BB$66) = 0, "", SUM($BB$47:$BB$66))))</f>
        <v>1597003.0919999997</v>
      </c>
      <c r="BC46">
        <f ca="1">IF(ISERROR(IF(SUM($BC$47:$BC$66) = 0, "", SUM($BC$47:$BC$66))), "", (IF(SUM($BC$47:$BC$66) = 0, "", SUM($BC$47:$BC$66))))</f>
        <v>1578840.0510000002</v>
      </c>
      <c r="BD46">
        <f ca="1">IF(ISERROR(IF(SUM($BD$47:$BD$66) = 0, "", SUM($BD$47:$BD$66))), "", (IF(SUM($BD$47:$BD$66) = 0, "", SUM($BD$47:$BD$66))))</f>
        <v>1556905.8959999997</v>
      </c>
      <c r="BE46">
        <f ca="1">IF(ISERROR(IF(SUM($BE$47:$BE$66) = 0, "", SUM($BE$47:$BE$66))), "", (IF(SUM($BE$47:$BE$66) = 0, "", SUM($BE$47:$BE$66))))</f>
        <v>1584585.8540000001</v>
      </c>
      <c r="BF46">
        <f ca="1">IF(ISERROR(IF(SUM($BF$47:$BF$66) = 0, "", SUM($BF$47:$BF$66))), "", (IF(SUM($BF$47:$BF$66) = 0, "", SUM($BF$47:$BF$66))))</f>
        <v>1508725.8300000003</v>
      </c>
      <c r="BG46">
        <f ca="1">IF(ISERROR(IF(SUM($BG$47:$BG$66) = 0, "", SUM($BG$47:$BG$66))), "", (IF(SUM($BG$47:$BG$66) = 0, "", SUM($BG$47:$BG$66))))</f>
        <v>1493107.2279999999</v>
      </c>
      <c r="BH46">
        <f ca="1">IF(ISERROR(IF(SUM($BH$47:$BH$66) = 0, "", SUM($BH$47:$BH$66))), "", (IF(SUM($BH$47:$BH$66) = 0, "", SUM($BH$47:$BH$66))))</f>
        <v>1457464.8399999996</v>
      </c>
      <c r="BI46">
        <f ca="1">IF(ISERROR(IF(SUM($BI$47:$BI$66) = 0, "", SUM($BI$47:$BI$66))), "", (IF(SUM($BI$47:$BI$66) = 0, "", SUM($BI$47:$BI$66))))</f>
        <v>1467799.3509999993</v>
      </c>
      <c r="BJ46">
        <f ca="1">IF(ISERROR(IF(SUM($BJ$47:$BJ$66) = 0, "", SUM($BJ$47:$BJ$66))), "", (IF(SUM($BJ$47:$BJ$66) = 0, "", SUM($BJ$47:$BJ$66))))</f>
        <v>1448762.8120000004</v>
      </c>
      <c r="BK46">
        <f ca="1">IF(ISERROR(IF(SUM($BK$47:$BK$66) = 0, "", SUM($BK$47:$BK$66))), "", (IF(SUM($BK$47:$BK$66) = 0, "", SUM($BK$47:$BK$66))))</f>
        <v>1477415.8970000001</v>
      </c>
      <c r="BL46">
        <f ca="1">IF(ISERROR(IF(SUM($BL$47:$BL$66) = 0, "", SUM($BL$47:$BL$66))), "", (IF(SUM($BL$47:$BL$66) = 0, "", SUM($BL$47:$BL$66))))</f>
        <v>1373419.8039999998</v>
      </c>
      <c r="BM46">
        <f ca="1">IF(ISERROR(IF(SUM($BM$47:$BM$66) = 0, "", SUM($BM$47:$BM$66))), "", (IF(SUM($BM$47:$BM$66) = 0, "", SUM($BM$47:$BM$66))))</f>
        <v>88236.451000000001</v>
      </c>
      <c r="BN46">
        <f>3112187.059</f>
        <v>3112187.0589999999</v>
      </c>
      <c r="BO46">
        <f>3246324.368</f>
        <v>3246324.3679999998</v>
      </c>
      <c r="BP46">
        <f>3190179.154</f>
        <v>3190179.1540000001</v>
      </c>
      <c r="BQ46">
        <f>3194739.464</f>
        <v>3194739.4640000002</v>
      </c>
      <c r="BR46">
        <f>3146521.312</f>
        <v>3146521.3119999999</v>
      </c>
      <c r="BS46">
        <f>3032681.329</f>
        <v>3032681.3289999999</v>
      </c>
      <c r="BT46">
        <f>3066093.985</f>
        <v>3066093.9849999999</v>
      </c>
      <c r="BU46">
        <f>3137649.923</f>
        <v>3137649.923</v>
      </c>
      <c r="BV46">
        <f>3231496.813</f>
        <v>3231496.8130000001</v>
      </c>
      <c r="BW46">
        <f>3209716.526</f>
        <v>3209716.5260000001</v>
      </c>
      <c r="BX46">
        <f>3352786.346</f>
        <v>3352786.3459999999</v>
      </c>
      <c r="BY46">
        <f>3424033.282</f>
        <v>3424033.2820000001</v>
      </c>
      <c r="BZ46">
        <f>3427075.275</f>
        <v>3427075.2749999999</v>
      </c>
      <c r="CA46">
        <f>3273918.481</f>
        <v>3273918.4810000001</v>
      </c>
      <c r="CB46">
        <f>3200229.148</f>
        <v>3200229.148</v>
      </c>
      <c r="CC46">
        <f>3046941.717</f>
        <v>3046941.7170000002</v>
      </c>
      <c r="CD46">
        <f>2771134.92</f>
        <v>2771134.92</v>
      </c>
      <c r="CE46">
        <f>2549648.731</f>
        <v>2549648.7310000001</v>
      </c>
      <c r="CF46">
        <f>2416273.911</f>
        <v>2416273.9109999998</v>
      </c>
      <c r="CG46">
        <f>2300869.108</f>
        <v>2300869.108</v>
      </c>
      <c r="CH46">
        <f>2176702.133</f>
        <v>2176702.1329999999</v>
      </c>
      <c r="CI46">
        <f>2128858.572</f>
        <v>2128858.5720000002</v>
      </c>
      <c r="CJ46">
        <f>2004431.027</f>
        <v>2004431.027</v>
      </c>
      <c r="CK46">
        <f>1958442.884</f>
        <v>1958442.8840000001</v>
      </c>
      <c r="CL46">
        <f>1956848.501</f>
        <v>1956848.5009999999</v>
      </c>
      <c r="CM46">
        <f>1899709.066</f>
        <v>1899709.0660000001</v>
      </c>
      <c r="CN46">
        <f>1903562.772</f>
        <v>1903562.7720000001</v>
      </c>
      <c r="CO46">
        <f>1888906.08</f>
        <v>1888906.08</v>
      </c>
      <c r="CP46">
        <f>1923350.078</f>
        <v>1923350.078</v>
      </c>
      <c r="CQ46">
        <f>1928129.718</f>
        <v>1928129.7180000001</v>
      </c>
      <c r="CR46">
        <f>1915609.159</f>
        <v>1915609.159</v>
      </c>
      <c r="CS46">
        <f>1918924.078</f>
        <v>1918924.078</v>
      </c>
      <c r="CT46">
        <f>1930040.895</f>
        <v>1930040.895</v>
      </c>
      <c r="CU46">
        <f>1902925.261</f>
        <v>1902925.2609999999</v>
      </c>
      <c r="CV46">
        <f>1828865.072</f>
        <v>1828865.0719999999</v>
      </c>
      <c r="CW46">
        <f>1800237.057</f>
        <v>1800237.057</v>
      </c>
      <c r="CX46">
        <f>1805765.949</f>
        <v>1805765.949</v>
      </c>
      <c r="CY46">
        <f>1785497.078</f>
        <v>1785497.078</v>
      </c>
      <c r="CZ46">
        <f>1762420.319</f>
        <v>1762420.3189999999</v>
      </c>
      <c r="DA46">
        <f>1741122.535</f>
        <v>1741122.5349999999</v>
      </c>
      <c r="DB46">
        <f>1732236.787</f>
        <v>1732236.787</v>
      </c>
      <c r="DC46">
        <f>1701352.742</f>
        <v>1701352.7420000001</v>
      </c>
      <c r="DD46">
        <f>1655986.289</f>
        <v>1655986.2890000001</v>
      </c>
      <c r="DE46">
        <f>1610004.345</f>
        <v>1610004.345</v>
      </c>
      <c r="DF46">
        <f>1574893.649</f>
        <v>1574893.649</v>
      </c>
      <c r="DG46">
        <f>1550187.691</f>
        <v>1550187.6910000001</v>
      </c>
      <c r="DH46">
        <f>1533091.134</f>
        <v>1533091.1340000001</v>
      </c>
      <c r="DI46">
        <f>1569949.224</f>
        <v>1569949.2239999999</v>
      </c>
      <c r="DJ46">
        <f>1597003.092</f>
        <v>1597003.0919999999</v>
      </c>
      <c r="DK46">
        <f>1578840.051</f>
        <v>1578840.051</v>
      </c>
      <c r="DL46">
        <f>1556905.896</f>
        <v>1556905.8959999999</v>
      </c>
      <c r="DM46">
        <f>1584585.854</f>
        <v>1584585.8540000001</v>
      </c>
      <c r="DN46">
        <f>1508725.83</f>
        <v>1508725.83</v>
      </c>
      <c r="DO46">
        <f>1493107.228</f>
        <v>1493107.2279999999</v>
      </c>
      <c r="DP46">
        <f>1457464.84</f>
        <v>1457464.84</v>
      </c>
      <c r="DQ46">
        <f>1467799.351</f>
        <v>1467799.351</v>
      </c>
      <c r="DR46">
        <f>1448762.812</f>
        <v>1448762.8119999999</v>
      </c>
      <c r="DS46">
        <f>1477415.897</f>
        <v>1477415.8970000001</v>
      </c>
      <c r="DT46">
        <f>1373419.804</f>
        <v>1373419.804</v>
      </c>
      <c r="DU46">
        <f>88236.451</f>
        <v>88236.451000000001</v>
      </c>
    </row>
    <row r="47" spans="1:125" x14ac:dyDescent="0.25">
      <c r="A47" t="str">
        <f>"                Bank of America Corp"</f>
        <v xml:space="preserve">                Bank of America Corp</v>
      </c>
      <c r="B47" t="str">
        <f>"BAC US Equity"</f>
        <v>BAC US Equity</v>
      </c>
      <c r="C47" t="str">
        <f t="shared" ref="C47:C66" si="6">"FC023"</f>
        <v>FC023</v>
      </c>
      <c r="D47" t="str">
        <f t="shared" ref="D47:D66" si="7">"FDIC_TOTAL_SECURITIES"</f>
        <v>FDIC_TOTAL_SECURITIES</v>
      </c>
      <c r="E47" t="str">
        <f t="shared" ref="E47:E66" si="8">"Dynamic"</f>
        <v>Dynamic</v>
      </c>
      <c r="F47">
        <f ca="1">IF(AND(ISNUMBER($F$187),$B$145=1),$F$187,HLOOKUP(INDIRECT(ADDRESS(2,COLUMN())),OFFSET($BN$2,0,0,ROW()-1,60),ROW()-1,FALSE))</f>
        <v>905145</v>
      </c>
      <c r="G47">
        <f ca="1">IF(AND(ISNUMBER($G$187),$B$145=1),$G$187,HLOOKUP(INDIRECT(ADDRESS(2,COLUMN())),OFFSET($BN$2,0,0,ROW()-1,60),ROW()-1,FALSE))</f>
        <v>883308</v>
      </c>
      <c r="H47">
        <f ca="1">IF(AND(ISNUMBER($H$187),$B$145=1),$H$187,HLOOKUP(INDIRECT(ADDRESS(2,COLUMN())),OFFSET($BN$2,0,0,ROW()-1,60),ROW()-1,FALSE))</f>
        <v>868697</v>
      </c>
      <c r="I47">
        <f ca="1">IF(AND(ISNUMBER($I$187),$B$145=1),$I$187,HLOOKUP(INDIRECT(ADDRESS(2,COLUMN())),OFFSET($BN$2,0,0,ROW()-1,60),ROW()-1,FALSE))</f>
        <v>899971</v>
      </c>
      <c r="J47">
        <f ca="1">IF(AND(ISNUMBER($J$187),$B$145=1),$J$187,HLOOKUP(INDIRECT(ADDRESS(2,COLUMN())),OFFSET($BN$2,0,0,ROW()-1,60),ROW()-1,FALSE))</f>
        <v>861240</v>
      </c>
      <c r="K47">
        <f ca="1">IF(AND(ISNUMBER($K$187),$B$145=1),$K$187,HLOOKUP(INDIRECT(ADDRESS(2,COLUMN())),OFFSET($BN$2,0,0,ROW()-1,60),ROW()-1,FALSE))</f>
        <v>768975</v>
      </c>
      <c r="L47">
        <f ca="1">IF(AND(ISNUMBER($L$187),$B$145=1),$L$187,HLOOKUP(INDIRECT(ADDRESS(2,COLUMN())),OFFSET($BN$2,0,0,ROW()-1,60),ROW()-1,FALSE))</f>
        <v>746154</v>
      </c>
      <c r="M47">
        <f ca="1">IF(AND(ISNUMBER($M$187),$B$145=1),$M$187,HLOOKUP(INDIRECT(ADDRESS(2,COLUMN())),OFFSET($BN$2,0,0,ROW()-1,60),ROW()-1,FALSE))</f>
        <v>786938</v>
      </c>
      <c r="N47">
        <f ca="1">IF(AND(ISNUMBER($N$187),$B$145=1),$N$187,HLOOKUP(INDIRECT(ADDRESS(2,COLUMN())),OFFSET($BN$2,0,0,ROW()-1,60),ROW()-1,FALSE))</f>
        <v>853651</v>
      </c>
      <c r="O47">
        <f ca="1">IF(AND(ISNUMBER($O$187),$B$145=1),$O$187,HLOOKUP(INDIRECT(ADDRESS(2,COLUMN())),OFFSET($BN$2,0,0,ROW()-1,60),ROW()-1,FALSE))</f>
        <v>870083</v>
      </c>
      <c r="P47">
        <f ca="1">IF(AND(ISNUMBER($P$187),$B$145=1),$P$187,HLOOKUP(INDIRECT(ADDRESS(2,COLUMN())),OFFSET($BN$2,0,0,ROW()-1,60),ROW()-1,FALSE))</f>
        <v>924538</v>
      </c>
      <c r="Q47">
        <f ca="1">IF(AND(ISNUMBER($Q$187),$B$145=1),$Q$187,HLOOKUP(INDIRECT(ADDRESS(2,COLUMN())),OFFSET($BN$2,0,0,ROW()-1,60),ROW()-1,FALSE))</f>
        <v>961505</v>
      </c>
      <c r="R47">
        <f ca="1">IF(AND(ISNUMBER($R$187),$B$145=1),$R$187,HLOOKUP(INDIRECT(ADDRESS(2,COLUMN())),OFFSET($BN$2,0,0,ROW()-1,60),ROW()-1,FALSE))</f>
        <v>973769</v>
      </c>
      <c r="S47">
        <f ca="1">IF(AND(ISNUMBER($S$187),$B$145=1),$S$187,HLOOKUP(INDIRECT(ADDRESS(2,COLUMN())),OFFSET($BN$2,0,0,ROW()-1,60),ROW()-1,FALSE))</f>
        <v>958631</v>
      </c>
      <c r="T47">
        <f ca="1">IF(AND(ISNUMBER($T$187),$B$145=1),$T$187,HLOOKUP(INDIRECT(ADDRESS(2,COLUMN())),OFFSET($BN$2,0,0,ROW()-1,60),ROW()-1,FALSE))</f>
        <v>929613</v>
      </c>
      <c r="U47">
        <f ca="1">IF(AND(ISNUMBER($U$187),$B$145=1),$U$187,HLOOKUP(INDIRECT(ADDRESS(2,COLUMN())),OFFSET($BN$2,0,0,ROW()-1,60),ROW()-1,FALSE))</f>
        <v>846645</v>
      </c>
      <c r="V47">
        <f ca="1">IF(AND(ISNUMBER($V$187),$B$145=1),$V$187,HLOOKUP(INDIRECT(ADDRESS(2,COLUMN())),OFFSET($BN$2,0,0,ROW()-1,60),ROW()-1,FALSE))</f>
        <v>672770</v>
      </c>
      <c r="W47">
        <f ca="1">IF(AND(ISNUMBER($W$187),$B$145=1),$W$187,HLOOKUP(INDIRECT(ADDRESS(2,COLUMN())),OFFSET($BN$2,0,0,ROW()-1,60),ROW()-1,FALSE))</f>
        <v>572111</v>
      </c>
      <c r="X47">
        <f ca="1">IF(AND(ISNUMBER($X$187),$B$145=1),$X$187,HLOOKUP(INDIRECT(ADDRESS(2,COLUMN())),OFFSET($BN$2,0,0,ROW()-1,60),ROW()-1,FALSE))</f>
        <v>459399</v>
      </c>
      <c r="Y47">
        <f ca="1">IF(AND(ISNUMBER($Y$187),$B$145=1),$Y$187,HLOOKUP(INDIRECT(ADDRESS(2,COLUMN())),OFFSET($BN$2,0,0,ROW()-1,60),ROW()-1,FALSE))</f>
        <v>460985</v>
      </c>
      <c r="Z47">
        <f ca="1">IF(AND(ISNUMBER($Z$187),$B$145=1),$Z$187,HLOOKUP(INDIRECT(ADDRESS(2,COLUMN())),OFFSET($BN$2,0,0,ROW()-1,60),ROW()-1,FALSE))</f>
        <v>461369</v>
      </c>
      <c r="AA47">
        <f ca="1">IF(AND(ISNUMBER($AA$187),$B$145=1),$AA$187,HLOOKUP(INDIRECT(ADDRESS(2,COLUMN())),OFFSET($BN$2,0,0,ROW()-1,60),ROW()-1,FALSE))</f>
        <v>435124</v>
      </c>
      <c r="AB47">
        <f ca="1">IF(AND(ISNUMBER($AB$187),$B$145=1),$AB$187,HLOOKUP(INDIRECT(ADDRESS(2,COLUMN())),OFFSET($BN$2,0,0,ROW()-1,60),ROW()-1,FALSE))</f>
        <v>435960</v>
      </c>
      <c r="AC47">
        <f ca="1">IF(AND(ISNUMBER($AC$187),$B$145=1),$AC$187,HLOOKUP(INDIRECT(ADDRESS(2,COLUMN())),OFFSET($BN$2,0,0,ROW()-1,60),ROW()-1,FALSE))</f>
        <v>430330</v>
      </c>
      <c r="AD47">
        <f ca="1">IF(AND(ISNUMBER($AD$187),$B$145=1),$AD$187,HLOOKUP(INDIRECT(ADDRESS(2,COLUMN())),OFFSET($BN$2,0,0,ROW()-1,60),ROW()-1,FALSE))</f>
        <v>433018</v>
      </c>
      <c r="AE47">
        <f ca="1">IF(AND(ISNUMBER($AE$187),$B$145=1),$AE$187,HLOOKUP(INDIRECT(ADDRESS(2,COLUMN())),OFFSET($BN$2,0,0,ROW()-1,60),ROW()-1,FALSE))</f>
        <v>433520</v>
      </c>
      <c r="AF47">
        <f ca="1">IF(AND(ISNUMBER($AF$187),$B$145=1),$AF$187,HLOOKUP(INDIRECT(ADDRESS(2,COLUMN())),OFFSET($BN$2,0,0,ROW()-1,60),ROW()-1,FALSE))</f>
        <v>425132</v>
      </c>
      <c r="AG47">
        <f ca="1">IF(AND(ISNUMBER($AG$187),$B$145=1),$AG$187,HLOOKUP(INDIRECT(ADDRESS(2,COLUMN())),OFFSET($BN$2,0,0,ROW()-1,60),ROW()-1,FALSE))</f>
        <v>413899</v>
      </c>
      <c r="AH47">
        <f ca="1">IF(AND(ISNUMBER($AH$187),$B$145=1),$AH$187,HLOOKUP(INDIRECT(ADDRESS(2,COLUMN())),OFFSET($BN$2,0,0,ROW()-1,60),ROW()-1,FALSE))</f>
        <v>429902</v>
      </c>
      <c r="AI47">
        <f ca="1">IF(AND(ISNUMBER($AI$187),$B$145=1),$AI$187,HLOOKUP(INDIRECT(ADDRESS(2,COLUMN())),OFFSET($BN$2,0,0,ROW()-1,60),ROW()-1,FALSE))</f>
        <v>423778</v>
      </c>
      <c r="AJ47">
        <f ca="1">IF(AND(ISNUMBER($AJ$187),$B$145=1),$AJ$187,HLOOKUP(INDIRECT(ADDRESS(2,COLUMN())),OFFSET($BN$2,0,0,ROW()-1,60),ROW()-1,FALSE))</f>
        <v>420195</v>
      </c>
      <c r="AK47">
        <f ca="1">IF(AND(ISNUMBER($AK$187),$B$145=1),$AK$187,HLOOKUP(INDIRECT(ADDRESS(2,COLUMN())),OFFSET($BN$2,0,0,ROW()-1,60),ROW()-1,FALSE))</f>
        <v>413772</v>
      </c>
      <c r="AL47">
        <f ca="1">IF(AND(ISNUMBER($AL$187),$B$145=1),$AL$187,HLOOKUP(INDIRECT(ADDRESS(2,COLUMN())),OFFSET($BN$2,0,0,ROW()-1,60),ROW()-1,FALSE))</f>
        <v>413448</v>
      </c>
      <c r="AM47">
        <f ca="1">IF(AND(ISNUMBER($AM$187),$B$145=1),$AM$187,HLOOKUP(INDIRECT(ADDRESS(2,COLUMN())),OFFSET($BN$2,0,0,ROW()-1,60),ROW()-1,FALSE))</f>
        <v>415438</v>
      </c>
      <c r="AN47">
        <f ca="1">IF(AND(ISNUMBER($AN$187),$B$145=1),$AN$187,HLOOKUP(INDIRECT(ADDRESS(2,COLUMN())),OFFSET($BN$2,0,0,ROW()-1,60),ROW()-1,FALSE))</f>
        <v>392814</v>
      </c>
      <c r="AO47">
        <f ca="1">IF(AND(ISNUMBER($AO$187),$B$145=1),$AO$187,HLOOKUP(INDIRECT(ADDRESS(2,COLUMN())),OFFSET($BN$2,0,0,ROW()-1,60),ROW()-1,FALSE))</f>
        <v>383216</v>
      </c>
      <c r="AP47">
        <f ca="1">IF(AND(ISNUMBER($AP$187),$B$145=1),$AP$187,HLOOKUP(INDIRECT(ADDRESS(2,COLUMN())),OFFSET($BN$2,0,0,ROW()-1,60),ROW()-1,FALSE))</f>
        <v>391760</v>
      </c>
      <c r="AQ47">
        <f ca="1">IF(AND(ISNUMBER($AQ$187),$B$145=1),$AQ$187,HLOOKUP(INDIRECT(ADDRESS(2,COLUMN())),OFFSET($BN$2,0,0,ROW()-1,60),ROW()-1,FALSE))</f>
        <v>365598</v>
      </c>
      <c r="AR47">
        <f ca="1">IF(AND(ISNUMBER($AR$187),$B$145=1),$AR$187,HLOOKUP(INDIRECT(ADDRESS(2,COLUMN())),OFFSET($BN$2,0,0,ROW()-1,60),ROW()-1,FALSE))</f>
        <v>358543</v>
      </c>
      <c r="AS47">
        <f ca="1">IF(AND(ISNUMBER($AS$187),$B$145=1),$AS$187,HLOOKUP(INDIRECT(ADDRESS(2,COLUMN())),OFFSET($BN$2,0,0,ROW()-1,60),ROW()-1,FALSE))</f>
        <v>349939</v>
      </c>
      <c r="AT47">
        <f ca="1">IF(AND(ISNUMBER($AT$187),$B$145=1),$AT$187,HLOOKUP(INDIRECT(ADDRESS(2,COLUMN())),OFFSET($BN$2,0,0,ROW()-1,60),ROW()-1,FALSE))</f>
        <v>345799</v>
      </c>
      <c r="AU47">
        <f ca="1">IF(AND(ISNUMBER($AU$187),$B$145=1),$AU$187,HLOOKUP(INDIRECT(ADDRESS(2,COLUMN())),OFFSET($BN$2,0,0,ROW()-1,60),ROW()-1,FALSE))</f>
        <v>328168</v>
      </c>
      <c r="AV47">
        <f ca="1">IF(AND(ISNUMBER($AV$187),$B$145=1),$AV$187,HLOOKUP(INDIRECT(ADDRESS(2,COLUMN())),OFFSET($BN$2,0,0,ROW()-1,60),ROW()-1,FALSE))</f>
        <v>312561</v>
      </c>
      <c r="AW47">
        <f ca="1">IF(AND(ISNUMBER($AW$187),$B$145=1),$AW$187,HLOOKUP(INDIRECT(ADDRESS(2,COLUMN())),OFFSET($BN$2,0,0,ROW()-1,60),ROW()-1,FALSE))</f>
        <v>307532</v>
      </c>
      <c r="AX47">
        <f ca="1">IF(AND(ISNUMBER($AX$187),$B$145=1),$AX$187,HLOOKUP(INDIRECT(ADDRESS(2,COLUMN())),OFFSET($BN$2,0,0,ROW()-1,60),ROW()-1,FALSE))</f>
        <v>293403</v>
      </c>
      <c r="AY47">
        <f ca="1">IF(AND(ISNUMBER($AY$187),$B$145=1),$AY$187,HLOOKUP(INDIRECT(ADDRESS(2,COLUMN())),OFFSET($BN$2,0,0,ROW()-1,60),ROW()-1,FALSE))</f>
        <v>292113</v>
      </c>
      <c r="AZ47">
        <f ca="1">IF(AND(ISNUMBER($AZ$187),$B$145=1),$AZ$187,HLOOKUP(INDIRECT(ADDRESS(2,COLUMN())),OFFSET($BN$2,0,0,ROW()-1,60),ROW()-1,FALSE))</f>
        <v>298149</v>
      </c>
      <c r="BA47">
        <f ca="1">IF(AND(ISNUMBER($BA$187),$B$145=1),$BA$187,HLOOKUP(INDIRECT(ADDRESS(2,COLUMN())),OFFSET($BN$2,0,0,ROW()-1,60),ROW()-1,FALSE))</f>
        <v>315872</v>
      </c>
      <c r="BB47">
        <f ca="1">IF(AND(ISNUMBER($BB$187),$B$145=1),$BB$187,HLOOKUP(INDIRECT(ADDRESS(2,COLUMN())),OFFSET($BN$2,0,0,ROW()-1,60),ROW()-1,FALSE))</f>
        <v>341111.05300000001</v>
      </c>
      <c r="BC47">
        <f ca="1">IF(AND(ISNUMBER($BC$187),$B$145=1),$BC$187,HLOOKUP(INDIRECT(ADDRESS(2,COLUMN())),OFFSET($BN$2,0,0,ROW()-1,60),ROW()-1,FALSE))</f>
        <v>351167.05800000002</v>
      </c>
      <c r="BD47">
        <f ca="1">IF(AND(ISNUMBER($BD$187),$B$145=1),$BD$187,HLOOKUP(INDIRECT(ADDRESS(2,COLUMN())),OFFSET($BN$2,0,0,ROW()-1,60),ROW()-1,FALSE))</f>
        <v>340434.59499999997</v>
      </c>
      <c r="BE47">
        <f ca="1">IF(AND(ISNUMBER($BE$187),$B$145=1),$BE$187,HLOOKUP(INDIRECT(ADDRESS(2,COLUMN())),OFFSET($BN$2,0,0,ROW()-1,60),ROW()-1,FALSE))</f>
        <v>336343.68599999999</v>
      </c>
      <c r="BF47">
        <f ca="1">IF(AND(ISNUMBER($BF$187),$B$145=1),$BF$187,HLOOKUP(INDIRECT(ADDRESS(2,COLUMN())),OFFSET($BN$2,0,0,ROW()-1,60),ROW()-1,FALSE))</f>
        <v>323163.19699999999</v>
      </c>
      <c r="BG47">
        <f ca="1">IF(AND(ISNUMBER($BG$187),$B$145=1),$BG$187,HLOOKUP(INDIRECT(ADDRESS(2,COLUMN())),OFFSET($BN$2,0,0,ROW()-1,60),ROW()-1,FALSE))</f>
        <v>359901.06699999998</v>
      </c>
      <c r="BH47">
        <f ca="1">IF(AND(ISNUMBER($BH$187),$B$145=1),$BH$187,HLOOKUP(INDIRECT(ADDRESS(2,COLUMN())),OFFSET($BN$2,0,0,ROW()-1,60),ROW()-1,FALSE))</f>
        <v>351463.11200000002</v>
      </c>
      <c r="BI47">
        <f ca="1">IF(AND(ISNUMBER($BI$187),$B$145=1),$BI$187,HLOOKUP(INDIRECT(ADDRESS(2,COLUMN())),OFFSET($BN$2,0,0,ROW()-1,60),ROW()-1,FALSE))</f>
        <v>352800.7</v>
      </c>
      <c r="BJ47">
        <f ca="1">IF(AND(ISNUMBER($BJ$187),$B$145=1),$BJ$187,HLOOKUP(INDIRECT(ADDRESS(2,COLUMN())),OFFSET($BN$2,0,0,ROW()-1,60),ROW()-1,FALSE))</f>
        <v>360815.92200000002</v>
      </c>
      <c r="BK47">
        <f ca="1">IF(AND(ISNUMBER($BK$187),$B$145=1),$BK$187,HLOOKUP(INDIRECT(ADDRESS(2,COLUMN())),OFFSET($BN$2,0,0,ROW()-1,60),ROW()-1,FALSE))</f>
        <v>345242.201</v>
      </c>
      <c r="BL47">
        <f ca="1">IF(AND(ISNUMBER($BL$187),$B$145=1),$BL$187,HLOOKUP(INDIRECT(ADDRESS(2,COLUMN())),OFFSET($BN$2,0,0,ROW()-1,60),ROW()-1,FALSE))</f>
        <v>319691.511</v>
      </c>
      <c r="BM47" t="str">
        <f ca="1">IF(AND(ISNUMBER($BM$187),$B$145=1),$BM$187,HLOOKUP(INDIRECT(ADDRESS(2,COLUMN())),OFFSET($BN$2,0,0,ROW()-1,60),ROW()-1,FALSE))</f>
        <v/>
      </c>
      <c r="BN47">
        <f>905145</f>
        <v>905145</v>
      </c>
      <c r="BO47">
        <f>883308</f>
        <v>883308</v>
      </c>
      <c r="BP47">
        <f>868697</f>
        <v>868697</v>
      </c>
      <c r="BQ47">
        <f>899971</f>
        <v>899971</v>
      </c>
      <c r="BR47">
        <f>861240</f>
        <v>861240</v>
      </c>
      <c r="BS47">
        <f>768975</f>
        <v>768975</v>
      </c>
      <c r="BT47">
        <f>746154</f>
        <v>746154</v>
      </c>
      <c r="BU47">
        <f>786938</f>
        <v>786938</v>
      </c>
      <c r="BV47">
        <f>853651</f>
        <v>853651</v>
      </c>
      <c r="BW47">
        <f>870083</f>
        <v>870083</v>
      </c>
      <c r="BX47">
        <f>924538</f>
        <v>924538</v>
      </c>
      <c r="BY47">
        <f>961505</f>
        <v>961505</v>
      </c>
      <c r="BZ47">
        <f>973769</f>
        <v>973769</v>
      </c>
      <c r="CA47">
        <f>958631</f>
        <v>958631</v>
      </c>
      <c r="CB47">
        <f>929613</f>
        <v>929613</v>
      </c>
      <c r="CC47">
        <f>846645</f>
        <v>846645</v>
      </c>
      <c r="CD47">
        <f>672770</f>
        <v>672770</v>
      </c>
      <c r="CE47">
        <f>572111</f>
        <v>572111</v>
      </c>
      <c r="CF47">
        <f>459399</f>
        <v>459399</v>
      </c>
      <c r="CG47">
        <f>460985</f>
        <v>460985</v>
      </c>
      <c r="CH47">
        <f>461369</f>
        <v>461369</v>
      </c>
      <c r="CI47">
        <f>435124</f>
        <v>435124</v>
      </c>
      <c r="CJ47">
        <f>435960</f>
        <v>435960</v>
      </c>
      <c r="CK47">
        <f>430330</f>
        <v>430330</v>
      </c>
      <c r="CL47">
        <f>433018</f>
        <v>433018</v>
      </c>
      <c r="CM47">
        <f>433520</f>
        <v>433520</v>
      </c>
      <c r="CN47">
        <f>425132</f>
        <v>425132</v>
      </c>
      <c r="CO47">
        <f>413899</f>
        <v>413899</v>
      </c>
      <c r="CP47">
        <f>429902</f>
        <v>429902</v>
      </c>
      <c r="CQ47">
        <f>423778</f>
        <v>423778</v>
      </c>
      <c r="CR47">
        <f>420195</f>
        <v>420195</v>
      </c>
      <c r="CS47">
        <f>413772</f>
        <v>413772</v>
      </c>
      <c r="CT47">
        <f>413448</f>
        <v>413448</v>
      </c>
      <c r="CU47">
        <f>415438</f>
        <v>415438</v>
      </c>
      <c r="CV47">
        <f>392814</f>
        <v>392814</v>
      </c>
      <c r="CW47">
        <f>383216</f>
        <v>383216</v>
      </c>
      <c r="CX47">
        <f>391760</f>
        <v>391760</v>
      </c>
      <c r="CY47">
        <f>365598</f>
        <v>365598</v>
      </c>
      <c r="CZ47">
        <f>358543</f>
        <v>358543</v>
      </c>
      <c r="DA47">
        <f>349939</f>
        <v>349939</v>
      </c>
      <c r="DB47">
        <f>345799</f>
        <v>345799</v>
      </c>
      <c r="DC47">
        <f>328168</f>
        <v>328168</v>
      </c>
      <c r="DD47">
        <f>312561</f>
        <v>312561</v>
      </c>
      <c r="DE47">
        <f>307532</f>
        <v>307532</v>
      </c>
      <c r="DF47">
        <f>293403</f>
        <v>293403</v>
      </c>
      <c r="DG47">
        <f>292113</f>
        <v>292113</v>
      </c>
      <c r="DH47">
        <f>298149</f>
        <v>298149</v>
      </c>
      <c r="DI47">
        <f>315872</f>
        <v>315872</v>
      </c>
      <c r="DJ47">
        <f>341111.053</f>
        <v>341111.05300000001</v>
      </c>
      <c r="DK47">
        <f>351167.058</f>
        <v>351167.05800000002</v>
      </c>
      <c r="DL47">
        <f>340434.595</f>
        <v>340434.59499999997</v>
      </c>
      <c r="DM47">
        <f>336343.686</f>
        <v>336343.68599999999</v>
      </c>
      <c r="DN47">
        <f>323163.197</f>
        <v>323163.19699999999</v>
      </c>
      <c r="DO47">
        <f>359901.067</f>
        <v>359901.06699999998</v>
      </c>
      <c r="DP47">
        <f>351463.112</f>
        <v>351463.11200000002</v>
      </c>
      <c r="DQ47">
        <f>352800.7</f>
        <v>352800.7</v>
      </c>
      <c r="DR47">
        <f>360815.922</f>
        <v>360815.92200000002</v>
      </c>
      <c r="DS47">
        <f>345242.201</f>
        <v>345242.201</v>
      </c>
      <c r="DT47">
        <f>319691.511</f>
        <v>319691.511</v>
      </c>
      <c r="DU47" t="str">
        <f>""</f>
        <v/>
      </c>
    </row>
    <row r="48" spans="1:125" x14ac:dyDescent="0.25">
      <c r="A48" t="str">
        <f>"                Citigroup Inc"</f>
        <v xml:space="preserve">                Citigroup Inc</v>
      </c>
      <c r="B48" t="str">
        <f>"C US Equity"</f>
        <v>C US Equity</v>
      </c>
      <c r="C48" t="str">
        <f t="shared" si="6"/>
        <v>FC023</v>
      </c>
      <c r="D48" t="str">
        <f t="shared" si="7"/>
        <v>FDIC_TOTAL_SECURITIES</v>
      </c>
      <c r="E48" t="str">
        <f t="shared" si="8"/>
        <v>Dynamic</v>
      </c>
      <c r="F48">
        <f ca="1">IF(AND(ISNUMBER($F$188),$B$145=1),$F$188,HLOOKUP(INDIRECT(ADDRESS(2,COLUMN())),OFFSET($BN$2,0,0,ROW()-1,60),ROW()-1,FALSE))</f>
        <v>465508</v>
      </c>
      <c r="G48">
        <f ca="1">IF(AND(ISNUMBER($G$188),$B$145=1),$G$188,HLOOKUP(INDIRECT(ADDRESS(2,COLUMN())),OFFSET($BN$2,0,0,ROW()-1,60),ROW()-1,FALSE))</f>
        <v>478511</v>
      </c>
      <c r="H48">
        <f ca="1">IF(AND(ISNUMBER($H$188),$B$145=1),$H$188,HLOOKUP(INDIRECT(ADDRESS(2,COLUMN())),OFFSET($BN$2,0,0,ROW()-1,60),ROW()-1,FALSE))</f>
        <v>495274</v>
      </c>
      <c r="I48">
        <f ca="1">IF(AND(ISNUMBER($I$188),$B$145=1),$I$188,HLOOKUP(INDIRECT(ADDRESS(2,COLUMN())),OFFSET($BN$2,0,0,ROW()-1,60),ROW()-1,FALSE))</f>
        <v>501713</v>
      </c>
      <c r="J48">
        <f ca="1">IF(AND(ISNUMBER($J$188),$B$145=1),$J$188,HLOOKUP(INDIRECT(ADDRESS(2,COLUMN())),OFFSET($BN$2,0,0,ROW()-1,60),ROW()-1,FALSE))</f>
        <v>504540</v>
      </c>
      <c r="K48">
        <f ca="1">IF(AND(ISNUMBER($K$188),$B$145=1),$K$188,HLOOKUP(INDIRECT(ADDRESS(2,COLUMN())),OFFSET($BN$2,0,0,ROW()-1,60),ROW()-1,FALSE))</f>
        <v>494484</v>
      </c>
      <c r="L48">
        <f ca="1">IF(AND(ISNUMBER($L$188),$B$145=1),$L$188,HLOOKUP(INDIRECT(ADDRESS(2,COLUMN())),OFFSET($BN$2,0,0,ROW()-1,60),ROW()-1,FALSE))</f>
        <v>493404</v>
      </c>
      <c r="M48">
        <f ca="1">IF(AND(ISNUMBER($M$188),$B$145=1),$M$188,HLOOKUP(INDIRECT(ADDRESS(2,COLUMN())),OFFSET($BN$2,0,0,ROW()-1,60),ROW()-1,FALSE))</f>
        <v>499775</v>
      </c>
      <c r="N48">
        <f ca="1">IF(AND(ISNUMBER($N$188),$B$145=1),$N$188,HLOOKUP(INDIRECT(ADDRESS(2,COLUMN())),OFFSET($BN$2,0,0,ROW()-1,60),ROW()-1,FALSE))</f>
        <v>514469</v>
      </c>
      <c r="O48">
        <f ca="1">IF(AND(ISNUMBER($O$188),$B$145=1),$O$188,HLOOKUP(INDIRECT(ADDRESS(2,COLUMN())),OFFSET($BN$2,0,0,ROW()-1,60),ROW()-1,FALSE))</f>
        <v>496366</v>
      </c>
      <c r="P48">
        <f ca="1">IF(AND(ISNUMBER($P$188),$B$145=1),$P$188,HLOOKUP(INDIRECT(ADDRESS(2,COLUMN())),OFFSET($BN$2,0,0,ROW()-1,60),ROW()-1,FALSE))</f>
        <v>501261</v>
      </c>
      <c r="Q48">
        <f ca="1">IF(AND(ISNUMBER($Q$188),$B$145=1),$Q$188,HLOOKUP(INDIRECT(ADDRESS(2,COLUMN())),OFFSET($BN$2,0,0,ROW()-1,60),ROW()-1,FALSE))</f>
        <v>502719</v>
      </c>
      <c r="R48">
        <f ca="1">IF(AND(ISNUMBER($R$188),$B$145=1),$R$188,HLOOKUP(INDIRECT(ADDRESS(2,COLUMN())),OFFSET($BN$2,0,0,ROW()-1,60),ROW()-1,FALSE))</f>
        <v>500695</v>
      </c>
      <c r="S48">
        <f ca="1">IF(AND(ISNUMBER($S$188),$B$145=1),$S$188,HLOOKUP(INDIRECT(ADDRESS(2,COLUMN())),OFFSET($BN$2,0,0,ROW()-1,60),ROW()-1,FALSE))</f>
        <v>488438</v>
      </c>
      <c r="T48">
        <f ca="1">IF(AND(ISNUMBER($T$188),$B$145=1),$T$188,HLOOKUP(INDIRECT(ADDRESS(2,COLUMN())),OFFSET($BN$2,0,0,ROW()-1,60),ROW()-1,FALSE))</f>
        <v>474140</v>
      </c>
      <c r="U48">
        <f ca="1">IF(AND(ISNUMBER($U$188),$B$145=1),$U$188,HLOOKUP(INDIRECT(ADDRESS(2,COLUMN())),OFFSET($BN$2,0,0,ROW()-1,60),ROW()-1,FALSE))</f>
        <v>461100</v>
      </c>
      <c r="V48">
        <f ca="1">IF(AND(ISNUMBER($V$188),$B$145=1),$V$188,HLOOKUP(INDIRECT(ADDRESS(2,COLUMN())),OFFSET($BN$2,0,0,ROW()-1,60),ROW()-1,FALSE))</f>
        <v>435247</v>
      </c>
      <c r="W48">
        <f ca="1">IF(AND(ISNUMBER($W$188),$B$145=1),$W$188,HLOOKUP(INDIRECT(ADDRESS(2,COLUMN())),OFFSET($BN$2,0,0,ROW()-1,60),ROW()-1,FALSE))</f>
        <v>435324</v>
      </c>
      <c r="X48">
        <f ca="1">IF(AND(ISNUMBER($X$188),$B$145=1),$X$188,HLOOKUP(INDIRECT(ADDRESS(2,COLUMN())),OFFSET($BN$2,0,0,ROW()-1,60),ROW()-1,FALSE))</f>
        <v>421075</v>
      </c>
      <c r="Y48">
        <f ca="1">IF(AND(ISNUMBER($Y$188),$B$145=1),$Y$188,HLOOKUP(INDIRECT(ADDRESS(2,COLUMN())),OFFSET($BN$2,0,0,ROW()-1,60),ROW()-1,FALSE))</f>
        <v>386541</v>
      </c>
      <c r="Z48">
        <f ca="1">IF(AND(ISNUMBER($Z$188),$B$145=1),$Z$188,HLOOKUP(INDIRECT(ADDRESS(2,COLUMN())),OFFSET($BN$2,0,0,ROW()-1,60),ROW()-1,FALSE))</f>
        <v>356598</v>
      </c>
      <c r="AA48">
        <f ca="1">IF(AND(ISNUMBER($AA$188),$B$145=1),$AA$188,HLOOKUP(INDIRECT(ADDRESS(2,COLUMN())),OFFSET($BN$2,0,0,ROW()-1,60),ROW()-1,FALSE))</f>
        <v>347360</v>
      </c>
      <c r="AB48">
        <f ca="1">IF(AND(ISNUMBER($AB$188),$B$145=1),$AB$188,HLOOKUP(INDIRECT(ADDRESS(2,COLUMN())),OFFSET($BN$2,0,0,ROW()-1,60),ROW()-1,FALSE))</f>
        <v>337939</v>
      </c>
      <c r="AC48">
        <f ca="1">IF(AND(ISNUMBER($AC$188),$B$145=1),$AC$188,HLOOKUP(INDIRECT(ADDRESS(2,COLUMN())),OFFSET($BN$2,0,0,ROW()-1,60),ROW()-1,FALSE))</f>
        <v>338302</v>
      </c>
      <c r="AD48">
        <f ca="1">IF(AND(ISNUMBER($AD$188),$B$145=1),$AD$188,HLOOKUP(INDIRECT(ADDRESS(2,COLUMN())),OFFSET($BN$2,0,0,ROW()-1,60),ROW()-1,FALSE))</f>
        <v>347423</v>
      </c>
      <c r="AE48">
        <f ca="1">IF(AND(ISNUMBER($AE$188),$B$145=1),$AE$188,HLOOKUP(INDIRECT(ADDRESS(2,COLUMN())),OFFSET($BN$2,0,0,ROW()-1,60),ROW()-1,FALSE))</f>
        <v>334116</v>
      </c>
      <c r="AF48">
        <f ca="1">IF(AND(ISNUMBER($AF$188),$B$145=1),$AF$188,HLOOKUP(INDIRECT(ADDRESS(2,COLUMN())),OFFSET($BN$2,0,0,ROW()-1,60),ROW()-1,FALSE))</f>
        <v>338342</v>
      </c>
      <c r="AG48">
        <f ca="1">IF(AND(ISNUMBER($AG$188),$B$145=1),$AG$188,HLOOKUP(INDIRECT(ADDRESS(2,COLUMN())),OFFSET($BN$2,0,0,ROW()-1,60),ROW()-1,FALSE))</f>
        <v>343850</v>
      </c>
      <c r="AH48">
        <f ca="1">IF(AND(ISNUMBER($AH$188),$B$145=1),$AH$188,HLOOKUP(INDIRECT(ADDRESS(2,COLUMN())),OFFSET($BN$2,0,0,ROW()-1,60),ROW()-1,FALSE))</f>
        <v>343936</v>
      </c>
      <c r="AI48">
        <f ca="1">IF(AND(ISNUMBER($AI$188),$B$145=1),$AI$188,HLOOKUP(INDIRECT(ADDRESS(2,COLUMN())),OFFSET($BN$2,0,0,ROW()-1,60),ROW()-1,FALSE))</f>
        <v>346504</v>
      </c>
      <c r="AJ48">
        <f ca="1">IF(AND(ISNUMBER($AJ$188),$B$145=1),$AJ$188,HLOOKUP(INDIRECT(ADDRESS(2,COLUMN())),OFFSET($BN$2,0,0,ROW()-1,60),ROW()-1,FALSE))</f>
        <v>343534</v>
      </c>
      <c r="AK48">
        <f ca="1">IF(AND(ISNUMBER($AK$188),$B$145=1),$AK$188,HLOOKUP(INDIRECT(ADDRESS(2,COLUMN())),OFFSET($BN$2,0,0,ROW()-1,60),ROW()-1,FALSE))</f>
        <v>337924</v>
      </c>
      <c r="AL48">
        <f ca="1">IF(AND(ISNUMBER($AL$188),$B$145=1),$AL$188,HLOOKUP(INDIRECT(ADDRESS(2,COLUMN())),OFFSET($BN$2,0,0,ROW()-1,60),ROW()-1,FALSE))</f>
        <v>344835</v>
      </c>
      <c r="AM48">
        <f ca="1">IF(AND(ISNUMBER($AM$188),$B$145=1),$AM$188,HLOOKUP(INDIRECT(ADDRESS(2,COLUMN())),OFFSET($BN$2,0,0,ROW()-1,60),ROW()-1,FALSE))</f>
        <v>346121</v>
      </c>
      <c r="AN48">
        <f ca="1">IF(AND(ISNUMBER($AN$188),$B$145=1),$AN$188,HLOOKUP(INDIRECT(ADDRESS(2,COLUMN())),OFFSET($BN$2,0,0,ROW()-1,60),ROW()-1,FALSE))</f>
        <v>348144</v>
      </c>
      <c r="AO48">
        <f ca="1">IF(AND(ISNUMBER($AO$188),$B$145=1),$AO$188,HLOOKUP(INDIRECT(ADDRESS(2,COLUMN())),OFFSET($BN$2,0,0,ROW()-1,60),ROW()-1,FALSE))</f>
        <v>345133</v>
      </c>
      <c r="AP48">
        <f ca="1">IF(AND(ISNUMBER($AP$188),$B$145=1),$AP$188,HLOOKUP(INDIRECT(ADDRESS(2,COLUMN())),OFFSET($BN$2,0,0,ROW()-1,60),ROW()-1,FALSE))</f>
        <v>335351</v>
      </c>
      <c r="AQ48">
        <f ca="1">IF(AND(ISNUMBER($AQ$188),$B$145=1),$AQ$188,HLOOKUP(INDIRECT(ADDRESS(2,COLUMN())),OFFSET($BN$2,0,0,ROW()-1,60),ROW()-1,FALSE))</f>
        <v>336057</v>
      </c>
      <c r="AR48">
        <f ca="1">IF(AND(ISNUMBER($AR$188),$B$145=1),$AR$188,HLOOKUP(INDIRECT(ADDRESS(2,COLUMN())),OFFSET($BN$2,0,0,ROW()-1,60),ROW()-1,FALSE))</f>
        <v>325736</v>
      </c>
      <c r="AS48">
        <f ca="1">IF(AND(ISNUMBER($AS$188),$B$145=1),$AS$188,HLOOKUP(INDIRECT(ADDRESS(2,COLUMN())),OFFSET($BN$2,0,0,ROW()-1,60),ROW()-1,FALSE))</f>
        <v>319990</v>
      </c>
      <c r="AT48">
        <f ca="1">IF(AND(ISNUMBER($AT$188),$B$145=1),$AT$188,HLOOKUP(INDIRECT(ADDRESS(2,COLUMN())),OFFSET($BN$2,0,0,ROW()-1,60),ROW()-1,FALSE))</f>
        <v>324064</v>
      </c>
      <c r="AU48">
        <f ca="1">IF(AND(ISNUMBER($AU$188),$B$145=1),$AU$188,HLOOKUP(INDIRECT(ADDRESS(2,COLUMN())),OFFSET($BN$2,0,0,ROW()-1,60),ROW()-1,FALSE))</f>
        <v>322716</v>
      </c>
      <c r="AV48">
        <f ca="1">IF(AND(ISNUMBER($AV$188),$B$145=1),$AV$188,HLOOKUP(INDIRECT(ADDRESS(2,COLUMN())),OFFSET($BN$2,0,0,ROW()-1,60),ROW()-1,FALSE))</f>
        <v>314908</v>
      </c>
      <c r="AW48">
        <f ca="1">IF(AND(ISNUMBER($AW$188),$B$145=1),$AW$188,HLOOKUP(INDIRECT(ADDRESS(2,COLUMN())),OFFSET($BN$2,0,0,ROW()-1,60),ROW()-1,FALSE))</f>
        <v>301537</v>
      </c>
      <c r="AX48">
        <f ca="1">IF(AND(ISNUMBER($AX$188),$B$145=1),$AX$188,HLOOKUP(INDIRECT(ADDRESS(2,COLUMN())),OFFSET($BN$2,0,0,ROW()-1,60),ROW()-1,FALSE))</f>
        <v>297110</v>
      </c>
      <c r="AY48">
        <f ca="1">IF(AND(ISNUMBER($AY$188),$B$145=1),$AY$188,HLOOKUP(INDIRECT(ADDRESS(2,COLUMN())),OFFSET($BN$2,0,0,ROW()-1,60),ROW()-1,FALSE))</f>
        <v>290685</v>
      </c>
      <c r="AZ48">
        <f ca="1">IF(AND(ISNUMBER($AZ$188),$B$145=1),$AZ$188,HLOOKUP(INDIRECT(ADDRESS(2,COLUMN())),OFFSET($BN$2,0,0,ROW()-1,60),ROW()-1,FALSE))</f>
        <v>286980</v>
      </c>
      <c r="BA48">
        <f ca="1">IF(AND(ISNUMBER($BA$188),$B$145=1),$BA$188,HLOOKUP(INDIRECT(ADDRESS(2,COLUMN())),OFFSET($BN$2,0,0,ROW()-1,60),ROW()-1,FALSE))</f>
        <v>291805</v>
      </c>
      <c r="BB48">
        <f ca="1">IF(AND(ISNUMBER($BB$188),$B$145=1),$BB$188,HLOOKUP(INDIRECT(ADDRESS(2,COLUMN())),OFFSET($BN$2,0,0,ROW()-1,60),ROW()-1,FALSE))</f>
        <v>298825</v>
      </c>
      <c r="BC48">
        <f ca="1">IF(AND(ISNUMBER($BC$188),$B$145=1),$BC$188,HLOOKUP(INDIRECT(ADDRESS(2,COLUMN())),OFFSET($BN$2,0,0,ROW()-1,60),ROW()-1,FALSE))</f>
        <v>282204</v>
      </c>
      <c r="BD48">
        <f ca="1">IF(AND(ISNUMBER($BD$188),$B$145=1),$BD$188,HLOOKUP(INDIRECT(ADDRESS(2,COLUMN())),OFFSET($BN$2,0,0,ROW()-1,60),ROW()-1,FALSE))</f>
        <v>290935</v>
      </c>
      <c r="BE48">
        <f ca="1">IF(AND(ISNUMBER($BE$188),$B$145=1),$BE$188,HLOOKUP(INDIRECT(ADDRESS(2,COLUMN())),OFFSET($BN$2,0,0,ROW()-1,60),ROW()-1,FALSE))</f>
        <v>280709</v>
      </c>
      <c r="BF48">
        <f ca="1">IF(AND(ISNUMBER($BF$188),$B$145=1),$BF$188,HLOOKUP(INDIRECT(ADDRESS(2,COLUMN())),OFFSET($BN$2,0,0,ROW()-1,60),ROW()-1,FALSE))</f>
        <v>276687</v>
      </c>
      <c r="BG48">
        <f ca="1">IF(AND(ISNUMBER($BG$188),$B$145=1),$BG$188,HLOOKUP(INDIRECT(ADDRESS(2,COLUMN())),OFFSET($BN$2,0,0,ROW()-1,60),ROW()-1,FALSE))</f>
        <v>271227</v>
      </c>
      <c r="BH48">
        <f ca="1">IF(AND(ISNUMBER($BH$188),$B$145=1),$BH$188,HLOOKUP(INDIRECT(ADDRESS(2,COLUMN())),OFFSET($BN$2,0,0,ROW()-1,60),ROW()-1,FALSE))</f>
        <v>292741</v>
      </c>
      <c r="BI48">
        <f ca="1">IF(AND(ISNUMBER($BI$188),$B$145=1),$BI$188,HLOOKUP(INDIRECT(ADDRESS(2,COLUMN())),OFFSET($BN$2,0,0,ROW()-1,60),ROW()-1,FALSE))</f>
        <v>310122</v>
      </c>
      <c r="BJ48">
        <f ca="1">IF(AND(ISNUMBER($BJ$188),$B$145=1),$BJ$188,HLOOKUP(INDIRECT(ADDRESS(2,COLUMN())),OFFSET($BN$2,0,0,ROW()-1,60),ROW()-1,FALSE))</f>
        <v>303529</v>
      </c>
      <c r="BK48">
        <f ca="1">IF(AND(ISNUMBER($BK$188),$B$145=1),$BK$188,HLOOKUP(INDIRECT(ADDRESS(2,COLUMN())),OFFSET($BN$2,0,0,ROW()-1,60),ROW()-1,FALSE))</f>
        <v>326634</v>
      </c>
      <c r="BL48">
        <f ca="1">IF(AND(ISNUMBER($BL$188),$B$145=1),$BL$188,HLOOKUP(INDIRECT(ADDRESS(2,COLUMN())),OFFSET($BN$2,0,0,ROW()-1,60),ROW()-1,FALSE))</f>
        <v>301870</v>
      </c>
      <c r="BM48" t="str">
        <f ca="1">IF(AND(ISNUMBER($BM$188),$B$145=1),$BM$188,HLOOKUP(INDIRECT(ADDRESS(2,COLUMN())),OFFSET($BN$2,0,0,ROW()-1,60),ROW()-1,FALSE))</f>
        <v/>
      </c>
      <c r="BN48">
        <f>465508</f>
        <v>465508</v>
      </c>
      <c r="BO48">
        <f>478511</f>
        <v>478511</v>
      </c>
      <c r="BP48">
        <f>495274</f>
        <v>495274</v>
      </c>
      <c r="BQ48">
        <f>501713</f>
        <v>501713</v>
      </c>
      <c r="BR48">
        <f>504540</f>
        <v>504540</v>
      </c>
      <c r="BS48">
        <f>494484</f>
        <v>494484</v>
      </c>
      <c r="BT48">
        <f>493404</f>
        <v>493404</v>
      </c>
      <c r="BU48">
        <f>499775</f>
        <v>499775</v>
      </c>
      <c r="BV48">
        <f>514469</f>
        <v>514469</v>
      </c>
      <c r="BW48">
        <f>496366</f>
        <v>496366</v>
      </c>
      <c r="BX48">
        <f>501261</f>
        <v>501261</v>
      </c>
      <c r="BY48">
        <f>502719</f>
        <v>502719</v>
      </c>
      <c r="BZ48">
        <f>500695</f>
        <v>500695</v>
      </c>
      <c r="CA48">
        <f>488438</f>
        <v>488438</v>
      </c>
      <c r="CB48">
        <f>474140</f>
        <v>474140</v>
      </c>
      <c r="CC48">
        <f>461100</f>
        <v>461100</v>
      </c>
      <c r="CD48">
        <f>435247</f>
        <v>435247</v>
      </c>
      <c r="CE48">
        <f>435324</f>
        <v>435324</v>
      </c>
      <c r="CF48">
        <f>421075</f>
        <v>421075</v>
      </c>
      <c r="CG48">
        <f>386541</f>
        <v>386541</v>
      </c>
      <c r="CH48">
        <f>356598</f>
        <v>356598</v>
      </c>
      <c r="CI48">
        <f>347360</f>
        <v>347360</v>
      </c>
      <c r="CJ48">
        <f>337939</f>
        <v>337939</v>
      </c>
      <c r="CK48">
        <f>338302</f>
        <v>338302</v>
      </c>
      <c r="CL48">
        <f>347423</f>
        <v>347423</v>
      </c>
      <c r="CM48">
        <f>334116</f>
        <v>334116</v>
      </c>
      <c r="CN48">
        <f>338342</f>
        <v>338342</v>
      </c>
      <c r="CO48">
        <f>343850</f>
        <v>343850</v>
      </c>
      <c r="CP48">
        <f>343936</f>
        <v>343936</v>
      </c>
      <c r="CQ48">
        <f>346504</f>
        <v>346504</v>
      </c>
      <c r="CR48">
        <f>343534</f>
        <v>343534</v>
      </c>
      <c r="CS48">
        <f>337924</f>
        <v>337924</v>
      </c>
      <c r="CT48">
        <f>344835</f>
        <v>344835</v>
      </c>
      <c r="CU48">
        <f>346121</f>
        <v>346121</v>
      </c>
      <c r="CV48">
        <f>348144</f>
        <v>348144</v>
      </c>
      <c r="CW48">
        <f>345133</f>
        <v>345133</v>
      </c>
      <c r="CX48">
        <f>335351</f>
        <v>335351</v>
      </c>
      <c r="CY48">
        <f>336057</f>
        <v>336057</v>
      </c>
      <c r="CZ48">
        <f>325736</f>
        <v>325736</v>
      </c>
      <c r="DA48">
        <f>319990</f>
        <v>319990</v>
      </c>
      <c r="DB48">
        <f>324064</f>
        <v>324064</v>
      </c>
      <c r="DC48">
        <f>322716</f>
        <v>322716</v>
      </c>
      <c r="DD48">
        <f>314908</f>
        <v>314908</v>
      </c>
      <c r="DE48">
        <f>301537</f>
        <v>301537</v>
      </c>
      <c r="DF48">
        <f>297110</f>
        <v>297110</v>
      </c>
      <c r="DG48">
        <f>290685</f>
        <v>290685</v>
      </c>
      <c r="DH48">
        <f>286980</f>
        <v>286980</v>
      </c>
      <c r="DI48">
        <f>291805</f>
        <v>291805</v>
      </c>
      <c r="DJ48">
        <f>298825</f>
        <v>298825</v>
      </c>
      <c r="DK48">
        <f>282204</f>
        <v>282204</v>
      </c>
      <c r="DL48">
        <f>290935</f>
        <v>290935</v>
      </c>
      <c r="DM48">
        <f>280709</f>
        <v>280709</v>
      </c>
      <c r="DN48">
        <f>276687</f>
        <v>276687</v>
      </c>
      <c r="DO48">
        <f>271227</f>
        <v>271227</v>
      </c>
      <c r="DP48">
        <f>292741</f>
        <v>292741</v>
      </c>
      <c r="DQ48">
        <f>310122</f>
        <v>310122</v>
      </c>
      <c r="DR48">
        <f>303529</f>
        <v>303529</v>
      </c>
      <c r="DS48">
        <f>326634</f>
        <v>326634</v>
      </c>
      <c r="DT48">
        <f>301870</f>
        <v>301870</v>
      </c>
      <c r="DU48" t="str">
        <f>""</f>
        <v/>
      </c>
    </row>
    <row r="49" spans="1:125" x14ac:dyDescent="0.25">
      <c r="A49" t="str">
        <f>"                Citizens Financial Group Inc"</f>
        <v xml:space="preserve">                Citizens Financial Group Inc</v>
      </c>
      <c r="B49" t="str">
        <f>"CFG US Equity"</f>
        <v>CFG US Equity</v>
      </c>
      <c r="C49" t="str">
        <f t="shared" si="6"/>
        <v>FC023</v>
      </c>
      <c r="D49" t="str">
        <f t="shared" si="7"/>
        <v>FDIC_TOTAL_SECURITIES</v>
      </c>
      <c r="E49" t="str">
        <f t="shared" si="8"/>
        <v>Dynamic</v>
      </c>
      <c r="F49">
        <f ca="1">IF(AND(ISNUMBER($F$189),$B$145=1),$F$189,HLOOKUP(INDIRECT(ADDRESS(2,COLUMN())),OFFSET($BN$2,0,0,ROW()-1,60),ROW()-1,FALSE))</f>
        <v>41363.311999999998</v>
      </c>
      <c r="G49">
        <f ca="1">IF(AND(ISNUMBER($G$189),$B$145=1),$G$189,HLOOKUP(INDIRECT(ADDRESS(2,COLUMN())),OFFSET($BN$2,0,0,ROW()-1,60),ROW()-1,FALSE))</f>
        <v>41572.173999999999</v>
      </c>
      <c r="H49">
        <f ca="1">IF(AND(ISNUMBER($H$189),$B$145=1),$H$189,HLOOKUP(INDIRECT(ADDRESS(2,COLUMN())),OFFSET($BN$2,0,0,ROW()-1,60),ROW()-1,FALSE))</f>
        <v>40832.866000000002</v>
      </c>
      <c r="I49">
        <f ca="1">IF(AND(ISNUMBER($I$189),$B$145=1),$I$189,HLOOKUP(INDIRECT(ADDRESS(2,COLUMN())),OFFSET($BN$2,0,0,ROW()-1,60),ROW()-1,FALSE))</f>
        <v>40240.652999999998</v>
      </c>
      <c r="J49">
        <f ca="1">IF(AND(ISNUMBER($J$189),$B$145=1),$J$189,HLOOKUP(INDIRECT(ADDRESS(2,COLUMN())),OFFSET($BN$2,0,0,ROW()-1,60),ROW()-1,FALSE))</f>
        <v>38961.627999999997</v>
      </c>
      <c r="K49">
        <f ca="1">IF(AND(ISNUMBER($K$189),$B$145=1),$K$189,HLOOKUP(INDIRECT(ADDRESS(2,COLUMN())),OFFSET($BN$2,0,0,ROW()-1,60),ROW()-1,FALSE))</f>
        <v>34388.171999999999</v>
      </c>
      <c r="L49">
        <f ca="1">IF(AND(ISNUMBER($L$189),$B$145=1),$L$189,HLOOKUP(INDIRECT(ADDRESS(2,COLUMN())),OFFSET($BN$2,0,0,ROW()-1,60),ROW()-1,FALSE))</f>
        <v>34274.574999999997</v>
      </c>
      <c r="M49">
        <f ca="1">IF(AND(ISNUMBER($M$189),$B$145=1),$M$189,HLOOKUP(INDIRECT(ADDRESS(2,COLUMN())),OFFSET($BN$2,0,0,ROW()-1,60),ROW()-1,FALSE))</f>
        <v>33521.599000000002</v>
      </c>
      <c r="N49">
        <f ca="1">IF(AND(ISNUMBER($N$189),$B$145=1),$N$189,HLOOKUP(INDIRECT(ADDRESS(2,COLUMN())),OFFSET($BN$2,0,0,ROW()-1,60),ROW()-1,FALSE))</f>
        <v>33841.078999999998</v>
      </c>
      <c r="O49">
        <f ca="1">IF(AND(ISNUMBER($O$189),$B$145=1),$O$189,HLOOKUP(INDIRECT(ADDRESS(2,COLUMN())),OFFSET($BN$2,0,0,ROW()-1,60),ROW()-1,FALSE))</f>
        <v>33548.241999999998</v>
      </c>
      <c r="P49">
        <f ca="1">IF(AND(ISNUMBER($P$189),$B$145=1),$P$189,HLOOKUP(INDIRECT(ADDRESS(2,COLUMN())),OFFSET($BN$2,0,0,ROW()-1,60),ROW()-1,FALSE))</f>
        <v>34528.714</v>
      </c>
      <c r="Q49">
        <f ca="1">IF(AND(ISNUMBER($Q$189),$B$145=1),$Q$189,HLOOKUP(INDIRECT(ADDRESS(2,COLUMN())),OFFSET($BN$2,0,0,ROW()-1,60),ROW()-1,FALSE))</f>
        <v>27374.429</v>
      </c>
      <c r="R49">
        <f ca="1">IF(AND(ISNUMBER($R$189),$B$145=1),$R$189,HLOOKUP(INDIRECT(ADDRESS(2,COLUMN())),OFFSET($BN$2,0,0,ROW()-1,60),ROW()-1,FALSE))</f>
        <v>28309.072</v>
      </c>
      <c r="S49">
        <f ca="1">IF(AND(ISNUMBER($S$189),$B$145=1),$S$189,HLOOKUP(INDIRECT(ADDRESS(2,COLUMN())),OFFSET($BN$2,0,0,ROW()-1,60),ROW()-1,FALSE))</f>
        <v>27402.473000000002</v>
      </c>
      <c r="T49">
        <f ca="1">IF(AND(ISNUMBER($T$189),$B$145=1),$T$189,HLOOKUP(INDIRECT(ADDRESS(2,COLUMN())),OFFSET($BN$2,0,0,ROW()-1,60),ROW()-1,FALSE))</f>
        <v>27294.022000000001</v>
      </c>
      <c r="U49">
        <f ca="1">IF(AND(ISNUMBER($U$189),$B$145=1),$U$189,HLOOKUP(INDIRECT(ADDRESS(2,COLUMN())),OFFSET($BN$2,0,0,ROW()-1,60),ROW()-1,FALSE))</f>
        <v>27461.325000000001</v>
      </c>
      <c r="V49">
        <f ca="1">IF(AND(ISNUMBER($V$189),$B$145=1),$V$189,HLOOKUP(INDIRECT(ADDRESS(2,COLUMN())),OFFSET($BN$2,0,0,ROW()-1,60),ROW()-1,FALSE))</f>
        <v>26176.912</v>
      </c>
      <c r="W49">
        <f ca="1">IF(AND(ISNUMBER($W$189),$B$145=1),$W$189,HLOOKUP(INDIRECT(ADDRESS(2,COLUMN())),OFFSET($BN$2,0,0,ROW()-1,60),ROW()-1,FALSE))</f>
        <v>25461.918000000001</v>
      </c>
      <c r="X49">
        <f ca="1">IF(AND(ISNUMBER($X$189),$B$145=1),$X$189,HLOOKUP(INDIRECT(ADDRESS(2,COLUMN())),OFFSET($BN$2,0,0,ROW()-1,60),ROW()-1,FALSE))</f>
        <v>24999.234</v>
      </c>
      <c r="Y49">
        <f ca="1">IF(AND(ISNUMBER($Y$189),$B$145=1),$Y$189,HLOOKUP(INDIRECT(ADDRESS(2,COLUMN())),OFFSET($BN$2,0,0,ROW()-1,60),ROW()-1,FALSE))</f>
        <v>25378.565999999999</v>
      </c>
      <c r="Z49">
        <f ca="1">IF(AND(ISNUMBER($Z$189),$B$145=1),$Z$189,HLOOKUP(INDIRECT(ADDRESS(2,COLUMN())),OFFSET($BN$2,0,0,ROW()-1,60),ROW()-1,FALSE))</f>
        <v>23814.393</v>
      </c>
      <c r="AA49">
        <f ca="1">IF(AND(ISNUMBER($AA$189),$B$145=1),$AA$189,HLOOKUP(INDIRECT(ADDRESS(2,COLUMN())),OFFSET($BN$2,0,0,ROW()-1,60),ROW()-1,FALSE))</f>
        <v>24821.269</v>
      </c>
      <c r="AB49">
        <f ca="1">IF(AND(ISNUMBER($AB$189),$B$145=1),$AB$189,HLOOKUP(INDIRECT(ADDRESS(2,COLUMN())),OFFSET($BN$2,0,0,ROW()-1,60),ROW()-1,FALSE))</f>
        <v>25144.633000000002</v>
      </c>
      <c r="AC49">
        <f ca="1">IF(AND(ISNUMBER($AC$189),$B$145=1),$AC$189,HLOOKUP(INDIRECT(ADDRESS(2,COLUMN())),OFFSET($BN$2,0,0,ROW()-1,60),ROW()-1,FALSE))</f>
        <v>24849.383999999998</v>
      </c>
      <c r="AD49">
        <f ca="1">IF(AND(ISNUMBER($AD$189),$B$145=1),$AD$189,HLOOKUP(INDIRECT(ADDRESS(2,COLUMN())),OFFSET($BN$2,0,0,ROW()-1,60),ROW()-1,FALSE))</f>
        <v>24059.873</v>
      </c>
      <c r="AE49">
        <f ca="1">IF(AND(ISNUMBER($AE$189),$B$145=1),$AE$189,HLOOKUP(INDIRECT(ADDRESS(2,COLUMN())),OFFSET($BN$2,0,0,ROW()-1,60),ROW()-1,FALSE))</f>
        <v>24436.125</v>
      </c>
      <c r="AF49">
        <f ca="1">IF(AND(ISNUMBER($AF$189),$B$145=1),$AF$189,HLOOKUP(INDIRECT(ADDRESS(2,COLUMN())),OFFSET($BN$2,0,0,ROW()-1,60),ROW()-1,FALSE))</f>
        <v>24573.613000000001</v>
      </c>
      <c r="AG49">
        <f ca="1">IF(AND(ISNUMBER($AG$189),$B$145=1),$AG$189,HLOOKUP(INDIRECT(ADDRESS(2,COLUMN())),OFFSET($BN$2,0,0,ROW()-1,60),ROW()-1,FALSE))</f>
        <v>24513.331999999999</v>
      </c>
      <c r="AH49">
        <f ca="1">IF(AND(ISNUMBER($AH$189),$B$145=1),$AH$189,HLOOKUP(INDIRECT(ADDRESS(2,COLUMN())),OFFSET($BN$2,0,0,ROW()-1,60),ROW()-1,FALSE))</f>
        <v>24842.077000000001</v>
      </c>
      <c r="AI49">
        <f ca="1">IF(AND(ISNUMBER($AI$189),$B$145=1),$AI$189,HLOOKUP(INDIRECT(ADDRESS(2,COLUMN())),OFFSET($BN$2,0,0,ROW()-1,60),ROW()-1,FALSE))</f>
        <v>24805.141</v>
      </c>
      <c r="AJ49">
        <f ca="1">IF(AND(ISNUMBER($AJ$189),$B$145=1),$AJ$189,HLOOKUP(INDIRECT(ADDRESS(2,COLUMN())),OFFSET($BN$2,0,0,ROW()-1,60),ROW()-1,FALSE))</f>
        <v>24224.328000000001</v>
      </c>
      <c r="AK49">
        <f ca="1">IF(AND(ISNUMBER($AK$189),$B$145=1),$AK$189,HLOOKUP(INDIRECT(ADDRESS(2,COLUMN())),OFFSET($BN$2,0,0,ROW()-1,60),ROW()-1,FALSE))</f>
        <v>24955.706999999999</v>
      </c>
      <c r="AL49">
        <f ca="1">IF(AND(ISNUMBER($AL$189),$B$145=1),$AL$189,HLOOKUP(INDIRECT(ADDRESS(2,COLUMN())),OFFSET($BN$2,0,0,ROW()-1,60),ROW()-1,FALSE))</f>
        <v>24554.921999999999</v>
      </c>
      <c r="AM49">
        <f ca="1">IF(AND(ISNUMBER($AM$189),$B$145=1),$AM$189,HLOOKUP(INDIRECT(ADDRESS(2,COLUMN())),OFFSET($BN$2,0,0,ROW()-1,60),ROW()-1,FALSE))</f>
        <v>24697.087</v>
      </c>
      <c r="AN49">
        <f ca="1">IF(AND(ISNUMBER($AN$189),$B$145=1),$AN$189,HLOOKUP(INDIRECT(ADDRESS(2,COLUMN())),OFFSET($BN$2,0,0,ROW()-1,60),ROW()-1,FALSE))</f>
        <v>23434.191999999999</v>
      </c>
      <c r="AO49">
        <f ca="1">IF(AND(ISNUMBER($AO$189),$B$145=1),$AO$189,HLOOKUP(INDIRECT(ADDRESS(2,COLUMN())),OFFSET($BN$2,0,0,ROW()-1,60),ROW()-1,FALSE))</f>
        <v>23075.605</v>
      </c>
      <c r="AP49">
        <f ca="1">IF(AND(ISNUMBER($AP$189),$B$145=1),$AP$189,HLOOKUP(INDIRECT(ADDRESS(2,COLUMN())),OFFSET($BN$2,0,0,ROW()-1,60),ROW()-1,FALSE))</f>
        <v>23124.628000000001</v>
      </c>
      <c r="AQ49">
        <f ca="1">IF(AND(ISNUMBER($AQ$189),$B$145=1),$AQ$189,HLOOKUP(INDIRECT(ADDRESS(2,COLUMN())),OFFSET($BN$2,0,0,ROW()-1,60),ROW()-1,FALSE))</f>
        <v>23464.305</v>
      </c>
      <c r="AR49">
        <f ca="1">IF(AND(ISNUMBER($AR$189),$B$145=1),$AR$189,HLOOKUP(INDIRECT(ADDRESS(2,COLUMN())),OFFSET($BN$2,0,0,ROW()-1,60),ROW()-1,FALSE))</f>
        <v>24212.543000000001</v>
      </c>
      <c r="AS49">
        <f ca="1">IF(AND(ISNUMBER($AS$189),$B$145=1),$AS$189,HLOOKUP(INDIRECT(ADDRESS(2,COLUMN())),OFFSET($BN$2,0,0,ROW()-1,60),ROW()-1,FALSE))</f>
        <v>24201.419000000002</v>
      </c>
      <c r="AT49">
        <f ca="1">IF(AND(ISNUMBER($AT$189),$B$145=1),$AT$189,HLOOKUP(INDIRECT(ADDRESS(2,COLUMN())),OFFSET($BN$2,0,0,ROW()-1,60),ROW()-1,FALSE))</f>
        <v>23786.697</v>
      </c>
      <c r="AU49">
        <f ca="1">IF(AND(ISNUMBER($AU$189),$B$145=1),$AU$189,HLOOKUP(INDIRECT(ADDRESS(2,COLUMN())),OFFSET($BN$2,0,0,ROW()-1,60),ROW()-1,FALSE))</f>
        <v>23938.508000000002</v>
      </c>
      <c r="AV49">
        <f ca="1">IF(AND(ISNUMBER($AV$189),$B$145=1),$AV$189,HLOOKUP(INDIRECT(ADDRESS(2,COLUMN())),OFFSET($BN$2,0,0,ROW()-1,60),ROW()-1,FALSE))</f>
        <v>23857.657999999999</v>
      </c>
      <c r="AW49">
        <f ca="1">IF(AND(ISNUMBER($AW$189),$B$145=1),$AW$189,HLOOKUP(INDIRECT(ADDRESS(2,COLUMN())),OFFSET($BN$2,0,0,ROW()-1,60),ROW()-1,FALSE))</f>
        <v>23852.205999999998</v>
      </c>
      <c r="AX49">
        <f ca="1">IF(AND(ISNUMBER($AX$189),$B$145=1),$AX$189,HLOOKUP(INDIRECT(ADDRESS(2,COLUMN())),OFFSET($BN$2,0,0,ROW()-1,60),ROW()-1,FALSE))</f>
        <v>20293.008000000002</v>
      </c>
      <c r="AY49">
        <f ca="1">IF(AND(ISNUMBER($AY$189),$B$145=1),$AY$189,HLOOKUP(INDIRECT(ADDRESS(2,COLUMN())),OFFSET($BN$2,0,0,ROW()-1,60),ROW()-1,FALSE))</f>
        <v>19871.34</v>
      </c>
      <c r="AZ49">
        <f ca="1">IF(AND(ISNUMBER($AZ$189),$B$145=1),$AZ$189,HLOOKUP(INDIRECT(ADDRESS(2,COLUMN())),OFFSET($BN$2,0,0,ROW()-1,60),ROW()-1,FALSE))</f>
        <v>16416.563999999998</v>
      </c>
      <c r="BA49">
        <f ca="1">IF(AND(ISNUMBER($BA$189),$B$145=1),$BA$189,HLOOKUP(INDIRECT(ADDRESS(2,COLUMN())),OFFSET($BN$2,0,0,ROW()-1,60),ROW()-1,FALSE))</f>
        <v>17054.381000000001</v>
      </c>
      <c r="BB49">
        <f ca="1">IF(AND(ISNUMBER($BB$189),$B$145=1),$BB$189,HLOOKUP(INDIRECT(ADDRESS(2,COLUMN())),OFFSET($BN$2,0,0,ROW()-1,60),ROW()-1,FALSE))</f>
        <v>18343.530999999999</v>
      </c>
      <c r="BC49">
        <f ca="1">IF(AND(ISNUMBER($BC$189),$B$145=1),$BC$189,HLOOKUP(INDIRECT(ADDRESS(2,COLUMN())),OFFSET($BN$2,0,0,ROW()-1,60),ROW()-1,FALSE))</f>
        <v>20256.066999999999</v>
      </c>
      <c r="BD49">
        <f ca="1">IF(AND(ISNUMBER($BD$189),$B$145=1),$BD$189,HLOOKUP(INDIRECT(ADDRESS(2,COLUMN())),OFFSET($BN$2,0,0,ROW()-1,60),ROW()-1,FALSE))</f>
        <v>21082.25</v>
      </c>
      <c r="BE49">
        <f ca="1">IF(AND(ISNUMBER($BE$189),$B$145=1),$BE$189,HLOOKUP(INDIRECT(ADDRESS(2,COLUMN())),OFFSET($BN$2,0,0,ROW()-1,60),ROW()-1,FALSE))</f>
        <v>21695.455999999998</v>
      </c>
      <c r="BF49">
        <f ca="1">IF(AND(ISNUMBER($BF$189),$B$145=1),$BF$189,HLOOKUP(INDIRECT(ADDRESS(2,COLUMN())),OFFSET($BN$2,0,0,ROW()-1,60),ROW()-1,FALSE))</f>
        <v>22137.342000000001</v>
      </c>
      <c r="BG49">
        <f ca="1">IF(AND(ISNUMBER($BG$189),$B$145=1),$BG$189,HLOOKUP(INDIRECT(ADDRESS(2,COLUMN())),OFFSET($BN$2,0,0,ROW()-1,60),ROW()-1,FALSE))</f>
        <v>20891.615000000002</v>
      </c>
      <c r="BH49">
        <f ca="1">IF(AND(ISNUMBER($BH$189),$B$145=1),$BH$189,HLOOKUP(INDIRECT(ADDRESS(2,COLUMN())),OFFSET($BN$2,0,0,ROW()-1,60),ROW()-1,FALSE))</f>
        <v>21776.703000000001</v>
      </c>
      <c r="BI49">
        <f ca="1">IF(AND(ISNUMBER($BI$189),$B$145=1),$BI$189,HLOOKUP(INDIRECT(ADDRESS(2,COLUMN())),OFFSET($BN$2,0,0,ROW()-1,60),ROW()-1,FALSE))</f>
        <v>22552.112000000001</v>
      </c>
      <c r="BJ49">
        <f ca="1">IF(AND(ISNUMBER($BJ$189),$B$145=1),$BJ$189,HLOOKUP(INDIRECT(ADDRESS(2,COLUMN())),OFFSET($BN$2,0,0,ROW()-1,60),ROW()-1,FALSE))</f>
        <v>20534.542000000001</v>
      </c>
      <c r="BK49">
        <f ca="1">IF(AND(ISNUMBER($BK$189),$B$145=1),$BK$189,HLOOKUP(INDIRECT(ADDRESS(2,COLUMN())),OFFSET($BN$2,0,0,ROW()-1,60),ROW()-1,FALSE))</f>
        <v>19260.206999999999</v>
      </c>
      <c r="BL49">
        <f ca="1">IF(AND(ISNUMBER($BL$189),$B$145=1),$BL$189,HLOOKUP(INDIRECT(ADDRESS(2,COLUMN())),OFFSET($BN$2,0,0,ROW()-1,60),ROW()-1,FALSE))</f>
        <v>25607.01</v>
      </c>
      <c r="BM49" t="str">
        <f ca="1">IF(AND(ISNUMBER($BM$189),$B$145=1),$BM$189,HLOOKUP(INDIRECT(ADDRESS(2,COLUMN())),OFFSET($BN$2,0,0,ROW()-1,60),ROW()-1,FALSE))</f>
        <v/>
      </c>
      <c r="BN49">
        <f>41363.312</f>
        <v>41363.311999999998</v>
      </c>
      <c r="BO49">
        <f>41572.174</f>
        <v>41572.173999999999</v>
      </c>
      <c r="BP49">
        <f>40832.866</f>
        <v>40832.866000000002</v>
      </c>
      <c r="BQ49">
        <f>40240.653</f>
        <v>40240.652999999998</v>
      </c>
      <c r="BR49">
        <f>38961.628</f>
        <v>38961.627999999997</v>
      </c>
      <c r="BS49">
        <f>34388.172</f>
        <v>34388.171999999999</v>
      </c>
      <c r="BT49">
        <f>34274.575</f>
        <v>34274.574999999997</v>
      </c>
      <c r="BU49">
        <f>33521.599</f>
        <v>33521.599000000002</v>
      </c>
      <c r="BV49">
        <f>33841.079</f>
        <v>33841.078999999998</v>
      </c>
      <c r="BW49">
        <f>33548.242</f>
        <v>33548.241999999998</v>
      </c>
      <c r="BX49">
        <f>34528.714</f>
        <v>34528.714</v>
      </c>
      <c r="BY49">
        <f>27374.429</f>
        <v>27374.429</v>
      </c>
      <c r="BZ49">
        <f>28309.072</f>
        <v>28309.072</v>
      </c>
      <c r="CA49">
        <f>27402.473</f>
        <v>27402.473000000002</v>
      </c>
      <c r="CB49">
        <f>27294.022</f>
        <v>27294.022000000001</v>
      </c>
      <c r="CC49">
        <f>27461.325</f>
        <v>27461.325000000001</v>
      </c>
      <c r="CD49">
        <f>26176.912</f>
        <v>26176.912</v>
      </c>
      <c r="CE49">
        <f>25461.918</f>
        <v>25461.918000000001</v>
      </c>
      <c r="CF49">
        <f>24999.234</f>
        <v>24999.234</v>
      </c>
      <c r="CG49">
        <f>25378.566</f>
        <v>25378.565999999999</v>
      </c>
      <c r="CH49">
        <f>23814.393</f>
        <v>23814.393</v>
      </c>
      <c r="CI49">
        <f>24821.269</f>
        <v>24821.269</v>
      </c>
      <c r="CJ49">
        <f>25144.633</f>
        <v>25144.633000000002</v>
      </c>
      <c r="CK49">
        <f>24849.384</f>
        <v>24849.383999999998</v>
      </c>
      <c r="CL49">
        <f>24059.873</f>
        <v>24059.873</v>
      </c>
      <c r="CM49">
        <f>24436.125</f>
        <v>24436.125</v>
      </c>
      <c r="CN49">
        <f>24573.613</f>
        <v>24573.613000000001</v>
      </c>
      <c r="CO49">
        <f>24513.332</f>
        <v>24513.331999999999</v>
      </c>
      <c r="CP49">
        <f>24842.077</f>
        <v>24842.077000000001</v>
      </c>
      <c r="CQ49">
        <f>24805.141</f>
        <v>24805.141</v>
      </c>
      <c r="CR49">
        <f>24224.328</f>
        <v>24224.328000000001</v>
      </c>
      <c r="CS49">
        <f>24955.707</f>
        <v>24955.706999999999</v>
      </c>
      <c r="CT49">
        <f>24554.922</f>
        <v>24554.921999999999</v>
      </c>
      <c r="CU49">
        <f>24697.087</f>
        <v>24697.087</v>
      </c>
      <c r="CV49">
        <f>23434.192</f>
        <v>23434.191999999999</v>
      </c>
      <c r="CW49">
        <f>23075.605</f>
        <v>23075.605</v>
      </c>
      <c r="CX49">
        <f>23124.628</f>
        <v>23124.628000000001</v>
      </c>
      <c r="CY49">
        <f>23464.305</f>
        <v>23464.305</v>
      </c>
      <c r="CZ49">
        <f>24212.543</f>
        <v>24212.543000000001</v>
      </c>
      <c r="DA49">
        <f>24201.419</f>
        <v>24201.419000000002</v>
      </c>
      <c r="DB49">
        <f>23786.697</f>
        <v>23786.697</v>
      </c>
      <c r="DC49">
        <f>23938.508</f>
        <v>23938.508000000002</v>
      </c>
      <c r="DD49">
        <f>23857.658</f>
        <v>23857.657999999999</v>
      </c>
      <c r="DE49">
        <f>23852.206</f>
        <v>23852.205999999998</v>
      </c>
      <c r="DF49">
        <f>20293.008</f>
        <v>20293.008000000002</v>
      </c>
      <c r="DG49">
        <f>19871.34</f>
        <v>19871.34</v>
      </c>
      <c r="DH49">
        <f>16416.564</f>
        <v>16416.563999999998</v>
      </c>
      <c r="DI49">
        <f>17054.381</f>
        <v>17054.381000000001</v>
      </c>
      <c r="DJ49">
        <f>18343.531</f>
        <v>18343.530999999999</v>
      </c>
      <c r="DK49">
        <f>20256.067</f>
        <v>20256.066999999999</v>
      </c>
      <c r="DL49">
        <f>21082.25</f>
        <v>21082.25</v>
      </c>
      <c r="DM49">
        <f>21695.456</f>
        <v>21695.455999999998</v>
      </c>
      <c r="DN49">
        <f>22137.342</f>
        <v>22137.342000000001</v>
      </c>
      <c r="DO49">
        <f>20891.615</f>
        <v>20891.615000000002</v>
      </c>
      <c r="DP49">
        <f>21776.703</f>
        <v>21776.703000000001</v>
      </c>
      <c r="DQ49">
        <f>22552.112</f>
        <v>22552.112000000001</v>
      </c>
      <c r="DR49">
        <f>20534.542</f>
        <v>20534.542000000001</v>
      </c>
      <c r="DS49">
        <f>19260.207</f>
        <v>19260.206999999999</v>
      </c>
      <c r="DT49">
        <f>25607.01</f>
        <v>25607.01</v>
      </c>
      <c r="DU49" t="str">
        <f>""</f>
        <v/>
      </c>
    </row>
    <row r="50" spans="1:125" x14ac:dyDescent="0.25">
      <c r="A50" t="str">
        <f>"                Capital One Financial Corp"</f>
        <v xml:space="preserve">                Capital One Financial Corp</v>
      </c>
      <c r="B50" t="str">
        <f>"COF US Equity"</f>
        <v>COF US Equity</v>
      </c>
      <c r="C50" t="str">
        <f t="shared" si="6"/>
        <v>FC023</v>
      </c>
      <c r="D50" t="str">
        <f t="shared" si="7"/>
        <v>FDIC_TOTAL_SECURITIES</v>
      </c>
      <c r="E50" t="str">
        <f t="shared" si="8"/>
        <v>Dynamic</v>
      </c>
      <c r="F50">
        <f ca="1">IF(AND(ISNUMBER($F$190),$B$145=1),$F$190,HLOOKUP(INDIRECT(ADDRESS(2,COLUMN())),OFFSET($BN$2,0,0,ROW()-1,60),ROW()-1,FALSE))</f>
        <v>83013.192999999999</v>
      </c>
      <c r="G50">
        <f ca="1">IF(AND(ISNUMBER($G$190),$B$145=1),$G$190,HLOOKUP(INDIRECT(ADDRESS(2,COLUMN())),OFFSET($BN$2,0,0,ROW()-1,60),ROW()-1,FALSE))</f>
        <v>83500.428</v>
      </c>
      <c r="H50">
        <f ca="1">IF(AND(ISNUMBER($H$190),$B$145=1),$H$190,HLOOKUP(INDIRECT(ADDRESS(2,COLUMN())),OFFSET($BN$2,0,0,ROW()-1,60),ROW()-1,FALSE))</f>
        <v>79250.093999999997</v>
      </c>
      <c r="I50">
        <f ca="1">IF(AND(ISNUMBER($I$190),$B$145=1),$I$190,HLOOKUP(INDIRECT(ADDRESS(2,COLUMN())),OFFSET($BN$2,0,0,ROW()-1,60),ROW()-1,FALSE))</f>
        <v>78397.607000000004</v>
      </c>
      <c r="J50">
        <f ca="1">IF(AND(ISNUMBER($J$190),$B$145=1),$J$190,HLOOKUP(INDIRECT(ADDRESS(2,COLUMN())),OFFSET($BN$2,0,0,ROW()-1,60),ROW()-1,FALSE))</f>
        <v>79116.904999999999</v>
      </c>
      <c r="K50">
        <f ca="1">IF(AND(ISNUMBER($K$190),$B$145=1),$K$190,HLOOKUP(INDIRECT(ADDRESS(2,COLUMN())),OFFSET($BN$2,0,0,ROW()-1,60),ROW()-1,FALSE))</f>
        <v>74837.17</v>
      </c>
      <c r="L50">
        <f ca="1">IF(AND(ISNUMBER($L$190),$B$145=1),$L$190,HLOOKUP(INDIRECT(ADDRESS(2,COLUMN())),OFFSET($BN$2,0,0,ROW()-1,60),ROW()-1,FALSE))</f>
        <v>78411.740999999995</v>
      </c>
      <c r="M50">
        <f ca="1">IF(AND(ISNUMBER($M$190),$B$145=1),$M$190,HLOOKUP(INDIRECT(ADDRESS(2,COLUMN())),OFFSET($BN$2,0,0,ROW()-1,60),ROW()-1,FALSE))</f>
        <v>81925.274000000005</v>
      </c>
      <c r="N50">
        <f ca="1">IF(AND(ISNUMBER($N$190),$B$145=1),$N$190,HLOOKUP(INDIRECT(ADDRESS(2,COLUMN())),OFFSET($BN$2,0,0,ROW()-1,60),ROW()-1,FALSE))</f>
        <v>76918.626999999993</v>
      </c>
      <c r="O50">
        <f ca="1">IF(AND(ISNUMBER($O$190),$B$145=1),$O$190,HLOOKUP(INDIRECT(ADDRESS(2,COLUMN())),OFFSET($BN$2,0,0,ROW()-1,60),ROW()-1,FALSE))</f>
        <v>75302.820999999996</v>
      </c>
      <c r="P50">
        <f ca="1">IF(AND(ISNUMBER($P$190),$B$145=1),$P$190,HLOOKUP(INDIRECT(ADDRESS(2,COLUMN())),OFFSET($BN$2,0,0,ROW()-1,60),ROW()-1,FALSE))</f>
        <v>83022.126999999993</v>
      </c>
      <c r="Q50">
        <f ca="1">IF(AND(ISNUMBER($Q$190),$B$145=1),$Q$190,HLOOKUP(INDIRECT(ADDRESS(2,COLUMN())),OFFSET($BN$2,0,0,ROW()-1,60),ROW()-1,FALSE))</f>
        <v>89076.012000000002</v>
      </c>
      <c r="R50">
        <f ca="1">IF(AND(ISNUMBER($R$190),$B$145=1),$R$190,HLOOKUP(INDIRECT(ADDRESS(2,COLUMN())),OFFSET($BN$2,0,0,ROW()-1,60),ROW()-1,FALSE))</f>
        <v>95260.739000000001</v>
      </c>
      <c r="S50">
        <f ca="1">IF(AND(ISNUMBER($S$190),$B$145=1),$S$190,HLOOKUP(INDIRECT(ADDRESS(2,COLUMN())),OFFSET($BN$2,0,0,ROW()-1,60),ROW()-1,FALSE))</f>
        <v>98148.701000000001</v>
      </c>
      <c r="T50">
        <f ca="1">IF(AND(ISNUMBER($T$190),$B$145=1),$T$190,HLOOKUP(INDIRECT(ADDRESS(2,COLUMN())),OFFSET($BN$2,0,0,ROW()-1,60),ROW()-1,FALSE))</f>
        <v>101765.87699999999</v>
      </c>
      <c r="U50">
        <f ca="1">IF(AND(ISNUMBER($U$190),$B$145=1),$U$190,HLOOKUP(INDIRECT(ADDRESS(2,COLUMN())),OFFSET($BN$2,0,0,ROW()-1,60),ROW()-1,FALSE))</f>
        <v>99165.066999999995</v>
      </c>
      <c r="V50">
        <f ca="1">IF(AND(ISNUMBER($V$190),$B$145=1),$V$190,HLOOKUP(INDIRECT(ADDRESS(2,COLUMN())),OFFSET($BN$2,0,0,ROW()-1,60),ROW()-1,FALSE))</f>
        <v>100444.936</v>
      </c>
      <c r="W50">
        <f ca="1">IF(AND(ISNUMBER($W$190),$B$145=1),$W$190,HLOOKUP(INDIRECT(ADDRESS(2,COLUMN())),OFFSET($BN$2,0,0,ROW()-1,60),ROW()-1,FALSE))</f>
        <v>99852.72</v>
      </c>
      <c r="X50">
        <f ca="1">IF(AND(ISNUMBER($X$190),$B$145=1),$X$190,HLOOKUP(INDIRECT(ADDRESS(2,COLUMN())),OFFSET($BN$2,0,0,ROW()-1,60),ROW()-1,FALSE))</f>
        <v>87858.527000000002</v>
      </c>
      <c r="Y50">
        <f ca="1">IF(AND(ISNUMBER($Y$190),$B$145=1),$Y$190,HLOOKUP(INDIRECT(ADDRESS(2,COLUMN())),OFFSET($BN$2,0,0,ROW()-1,60),ROW()-1,FALSE))</f>
        <v>81423.326000000001</v>
      </c>
      <c r="Z50">
        <f ca="1">IF(AND(ISNUMBER($Z$190),$B$145=1),$Z$190,HLOOKUP(INDIRECT(ADDRESS(2,COLUMN())),OFFSET($BN$2,0,0,ROW()-1,60),ROW()-1,FALSE))</f>
        <v>79213.357999999993</v>
      </c>
      <c r="AA50">
        <f ca="1">IF(AND(ISNUMBER($AA$190),$B$145=1),$AA$190,HLOOKUP(INDIRECT(ADDRESS(2,COLUMN())),OFFSET($BN$2,0,0,ROW()-1,60),ROW()-1,FALSE))</f>
        <v>80111.137000000002</v>
      </c>
      <c r="AB50">
        <f ca="1">IF(AND(ISNUMBER($AB$190),$B$145=1),$AB$190,HLOOKUP(INDIRECT(ADDRESS(2,COLUMN())),OFFSET($BN$2,0,0,ROW()-1,60),ROW()-1,FALSE))</f>
        <v>81133.240999999995</v>
      </c>
      <c r="AC50">
        <f ca="1">IF(AND(ISNUMBER($AC$190),$B$145=1),$AC$190,HLOOKUP(INDIRECT(ADDRESS(2,COLUMN())),OFFSET($BN$2,0,0,ROW()-1,60),ROW()-1,FALSE))</f>
        <v>82391.316000000006</v>
      </c>
      <c r="AD50">
        <f ca="1">IF(AND(ISNUMBER($AD$190),$B$145=1),$AD$190,HLOOKUP(INDIRECT(ADDRESS(2,COLUMN())),OFFSET($BN$2,0,0,ROW()-1,60),ROW()-1,FALSE))</f>
        <v>82920.531000000003</v>
      </c>
      <c r="AE50">
        <f ca="1">IF(AND(ISNUMBER($AE$190),$B$145=1),$AE$190,HLOOKUP(INDIRECT(ADDRESS(2,COLUMN())),OFFSET($BN$2,0,0,ROW()-1,60),ROW()-1,FALSE))</f>
        <v>82015.797999999995</v>
      </c>
      <c r="AF50">
        <f ca="1">IF(AND(ISNUMBER($AF$190),$B$145=1),$AF$190,HLOOKUP(INDIRECT(ADDRESS(2,COLUMN())),OFFSET($BN$2,0,0,ROW()-1,60),ROW()-1,FALSE))</f>
        <v>84155.271999999997</v>
      </c>
      <c r="AG50">
        <f ca="1">IF(AND(ISNUMBER($AG$190),$B$145=1),$AG$190,HLOOKUP(INDIRECT(ADDRESS(2,COLUMN())),OFFSET($BN$2,0,0,ROW()-1,60),ROW()-1,FALSE))</f>
        <v>70227.331000000006</v>
      </c>
      <c r="AH50">
        <f ca="1">IF(AND(ISNUMBER($AH$190),$B$145=1),$AH$190,HLOOKUP(INDIRECT(ADDRESS(2,COLUMN())),OFFSET($BN$2,0,0,ROW()-1,60),ROW()-1,FALSE))</f>
        <v>66742.240000000005</v>
      </c>
      <c r="AI50">
        <f ca="1">IF(AND(ISNUMBER($AI$190),$B$145=1),$AI$190,HLOOKUP(INDIRECT(ADDRESS(2,COLUMN())),OFFSET($BN$2,0,0,ROW()-1,60),ROW()-1,FALSE))</f>
        <v>68461.244999999995</v>
      </c>
      <c r="AJ50">
        <f ca="1">IF(AND(ISNUMBER($AJ$190),$B$145=1),$AJ$190,HLOOKUP(INDIRECT(ADDRESS(2,COLUMN())),OFFSET($BN$2,0,0,ROW()-1,60),ROW()-1,FALSE))</f>
        <v>68907.047000000006</v>
      </c>
      <c r="AK50">
        <f ca="1">IF(AND(ISNUMBER($AK$190),$B$145=1),$AK$190,HLOOKUP(INDIRECT(ADDRESS(2,COLUMN())),OFFSET($BN$2,0,0,ROW()-1,60),ROW()-1,FALSE))</f>
        <v>67493.002999999997</v>
      </c>
      <c r="AL50">
        <f ca="1">IF(AND(ISNUMBER($AL$190),$B$145=1),$AL$190,HLOOKUP(INDIRECT(ADDRESS(2,COLUMN())),OFFSET($BN$2,0,0,ROW()-1,60),ROW()-1,FALSE))</f>
        <v>66512.264999999999</v>
      </c>
      <c r="AM50">
        <f ca="1">IF(AND(ISNUMBER($AM$190),$B$145=1),$AM$190,HLOOKUP(INDIRECT(ADDRESS(2,COLUMN())),OFFSET($BN$2,0,0,ROW()-1,60),ROW()-1,FALSE))</f>
        <v>66586.088000000003</v>
      </c>
      <c r="AN50">
        <f ca="1">IF(AND(ISNUMBER($AN$190),$B$145=1),$AN$190,HLOOKUP(INDIRECT(ADDRESS(2,COLUMN())),OFFSET($BN$2,0,0,ROW()-1,60),ROW()-1,FALSE))</f>
        <v>65079.207999999999</v>
      </c>
      <c r="AO50">
        <f ca="1">IF(AND(ISNUMBER($AO$190),$B$145=1),$AO$190,HLOOKUP(INDIRECT(ADDRESS(2,COLUMN())),OFFSET($BN$2,0,0,ROW()-1,60),ROW()-1,FALSE))</f>
        <v>65170.180999999997</v>
      </c>
      <c r="AP50">
        <f ca="1">IF(AND(ISNUMBER($AP$190),$B$145=1),$AP$190,HLOOKUP(INDIRECT(ADDRESS(2,COLUMN())),OFFSET($BN$2,0,0,ROW()-1,60),ROW()-1,FALSE))</f>
        <v>63678.411</v>
      </c>
      <c r="AQ50">
        <f ca="1">IF(AND(ISNUMBER($AQ$190),$B$145=1),$AQ$190,HLOOKUP(INDIRECT(ADDRESS(2,COLUMN())),OFFSET($BN$2,0,0,ROW()-1,60),ROW()-1,FALSE))</f>
        <v>63141.970999999998</v>
      </c>
      <c r="AR50">
        <f ca="1">IF(AND(ISNUMBER($AR$190),$B$145=1),$AR$190,HLOOKUP(INDIRECT(ADDRESS(2,COLUMN())),OFFSET($BN$2,0,0,ROW()-1,60),ROW()-1,FALSE))</f>
        <v>62802.673999999999</v>
      </c>
      <c r="AS50">
        <f ca="1">IF(AND(ISNUMBER($AS$190),$B$145=1),$AS$190,HLOOKUP(INDIRECT(ADDRESS(2,COLUMN())),OFFSET($BN$2,0,0,ROW()-1,60),ROW()-1,FALSE))</f>
        <v>62559.735000000001</v>
      </c>
      <c r="AT50">
        <f ca="1">IF(AND(ISNUMBER($AT$190),$B$145=1),$AT$190,HLOOKUP(INDIRECT(ADDRESS(2,COLUMN())),OFFSET($BN$2,0,0,ROW()-1,60),ROW()-1,FALSE))</f>
        <v>62006.911</v>
      </c>
      <c r="AU50">
        <f ca="1">IF(AND(ISNUMBER($AU$190),$B$145=1),$AU$190,HLOOKUP(INDIRECT(ADDRESS(2,COLUMN())),OFFSET($BN$2,0,0,ROW()-1,60),ROW()-1,FALSE))</f>
        <v>61845.754999999997</v>
      </c>
      <c r="AV50">
        <f ca="1">IF(AND(ISNUMBER($AV$190),$B$145=1),$AV$190,HLOOKUP(INDIRECT(ADDRESS(2,COLUMN())),OFFSET($BN$2,0,0,ROW()-1,60),ROW()-1,FALSE))</f>
        <v>61799.271999999997</v>
      </c>
      <c r="AW50">
        <f ca="1">IF(AND(ISNUMBER($AW$190),$B$145=1),$AW$190,HLOOKUP(INDIRECT(ADDRESS(2,COLUMN())),OFFSET($BN$2,0,0,ROW()-1,60),ROW()-1,FALSE))</f>
        <v>60868.821000000004</v>
      </c>
      <c r="AX50">
        <f ca="1">IF(AND(ISNUMBER($AX$190),$B$145=1),$AX$190,HLOOKUP(INDIRECT(ADDRESS(2,COLUMN())),OFFSET($BN$2,0,0,ROW()-1,60),ROW()-1,FALSE))</f>
        <v>60929.675000000003</v>
      </c>
      <c r="AY50">
        <f ca="1">IF(AND(ISNUMBER($AY$190),$B$145=1),$AY$190,HLOOKUP(INDIRECT(ADDRESS(2,COLUMN())),OFFSET($BN$2,0,0,ROW()-1,60),ROW()-1,FALSE))</f>
        <v>61406.349000000002</v>
      </c>
      <c r="AZ50">
        <f ca="1">IF(AND(ISNUMBER($AZ$190),$B$145=1),$AZ$190,HLOOKUP(INDIRECT(ADDRESS(2,COLUMN())),OFFSET($BN$2,0,0,ROW()-1,60),ROW()-1,FALSE))</f>
        <v>62600.260999999999</v>
      </c>
      <c r="BA50">
        <f ca="1">IF(AND(ISNUMBER($BA$190),$B$145=1),$BA$190,HLOOKUP(INDIRECT(ADDRESS(2,COLUMN())),OFFSET($BN$2,0,0,ROW()-1,60),ROW()-1,FALSE))</f>
        <v>64119.396999999997</v>
      </c>
      <c r="BB50">
        <f ca="1">IF(AND(ISNUMBER($BB$190),$B$145=1),$BB$190,HLOOKUP(INDIRECT(ADDRESS(2,COLUMN())),OFFSET($BN$2,0,0,ROW()-1,60),ROW()-1,FALSE))</f>
        <v>64071.09</v>
      </c>
      <c r="BC50">
        <f ca="1">IF(AND(ISNUMBER($BC$190),$B$145=1),$BC$190,HLOOKUP(INDIRECT(ADDRESS(2,COLUMN())),OFFSET($BN$2,0,0,ROW()-1,60),ROW()-1,FALSE))</f>
        <v>61590.953999999998</v>
      </c>
      <c r="BD50">
        <f ca="1">IF(AND(ISNUMBER($BD$190),$B$145=1),$BD$190,HLOOKUP(INDIRECT(ADDRESS(2,COLUMN())),OFFSET($BN$2,0,0,ROW()-1,60),ROW()-1,FALSE))</f>
        <v>55397.64</v>
      </c>
      <c r="BE50">
        <f ca="1">IF(AND(ISNUMBER($BE$190),$B$145=1),$BE$190,HLOOKUP(INDIRECT(ADDRESS(2,COLUMN())),OFFSET($BN$2,0,0,ROW()-1,60),ROW()-1,FALSE))</f>
        <v>60881.072</v>
      </c>
      <c r="BF50">
        <f ca="1">IF(AND(ISNUMBER($BF$190),$B$145=1),$BF$190,HLOOKUP(INDIRECT(ADDRESS(2,COLUMN())),OFFSET($BN$2,0,0,ROW()-1,60),ROW()-1,FALSE))</f>
        <v>38751.586000000003</v>
      </c>
      <c r="BG50">
        <f ca="1">IF(AND(ISNUMBER($BG$190),$B$145=1),$BG$190,HLOOKUP(INDIRECT(ADDRESS(2,COLUMN())),OFFSET($BN$2,0,0,ROW()-1,60),ROW()-1,FALSE))</f>
        <v>38537.264999999999</v>
      </c>
      <c r="BH50">
        <f ca="1">IF(AND(ISNUMBER($BH$190),$B$145=1),$BH$190,HLOOKUP(INDIRECT(ADDRESS(2,COLUMN())),OFFSET($BN$2,0,0,ROW()-1,60),ROW()-1,FALSE))</f>
        <v>39467.294999999998</v>
      </c>
      <c r="BI50">
        <f ca="1">IF(AND(ISNUMBER($BI$190),$B$145=1),$BI$190,HLOOKUP(INDIRECT(ADDRESS(2,COLUMN())),OFFSET($BN$2,0,0,ROW()-1,60),ROW()-1,FALSE))</f>
        <v>41559.788999999997</v>
      </c>
      <c r="BJ50">
        <f ca="1">IF(AND(ISNUMBER($BJ$190),$B$145=1),$BJ$190,HLOOKUP(INDIRECT(ADDRESS(2,COLUMN())),OFFSET($BN$2,0,0,ROW()-1,60),ROW()-1,FALSE))</f>
        <v>41530.574000000001</v>
      </c>
      <c r="BK50">
        <f ca="1">IF(AND(ISNUMBER($BK$190),$B$145=1),$BK$190,HLOOKUP(INDIRECT(ADDRESS(2,COLUMN())),OFFSET($BN$2,0,0,ROW()-1,60),ROW()-1,FALSE))</f>
        <v>40074.542999999998</v>
      </c>
      <c r="BL50">
        <f ca="1">IF(AND(ISNUMBER($BL$190),$B$145=1),$BL$190,HLOOKUP(INDIRECT(ADDRESS(2,COLUMN())),OFFSET($BN$2,0,0,ROW()-1,60),ROW()-1,FALSE))</f>
        <v>39566.559000000001</v>
      </c>
      <c r="BM50" t="str">
        <f ca="1">IF(AND(ISNUMBER($BM$190),$B$145=1),$BM$190,HLOOKUP(INDIRECT(ADDRESS(2,COLUMN())),OFFSET($BN$2,0,0,ROW()-1,60),ROW()-1,FALSE))</f>
        <v/>
      </c>
      <c r="BN50">
        <f>83013.193</f>
        <v>83013.192999999999</v>
      </c>
      <c r="BO50">
        <f>83500.428</f>
        <v>83500.428</v>
      </c>
      <c r="BP50">
        <f>79250.094</f>
        <v>79250.093999999997</v>
      </c>
      <c r="BQ50">
        <f>78397.607</f>
        <v>78397.607000000004</v>
      </c>
      <c r="BR50">
        <f>79116.905</f>
        <v>79116.904999999999</v>
      </c>
      <c r="BS50">
        <f>74837.17</f>
        <v>74837.17</v>
      </c>
      <c r="BT50">
        <f>78411.741</f>
        <v>78411.740999999995</v>
      </c>
      <c r="BU50">
        <f>81925.274</f>
        <v>81925.274000000005</v>
      </c>
      <c r="BV50">
        <f>76918.627</f>
        <v>76918.626999999993</v>
      </c>
      <c r="BW50">
        <f>75302.821</f>
        <v>75302.820999999996</v>
      </c>
      <c r="BX50">
        <f>83022.127</f>
        <v>83022.126999999993</v>
      </c>
      <c r="BY50">
        <f>89076.012</f>
        <v>89076.012000000002</v>
      </c>
      <c r="BZ50">
        <f>95260.739</f>
        <v>95260.739000000001</v>
      </c>
      <c r="CA50">
        <f>98148.701</f>
        <v>98148.701000000001</v>
      </c>
      <c r="CB50">
        <f>101765.877</f>
        <v>101765.87699999999</v>
      </c>
      <c r="CC50">
        <f>99165.067</f>
        <v>99165.066999999995</v>
      </c>
      <c r="CD50">
        <f>100444.936</f>
        <v>100444.936</v>
      </c>
      <c r="CE50">
        <f>99852.72</f>
        <v>99852.72</v>
      </c>
      <c r="CF50">
        <f>87858.527</f>
        <v>87858.527000000002</v>
      </c>
      <c r="CG50">
        <f>81423.326</f>
        <v>81423.326000000001</v>
      </c>
      <c r="CH50">
        <f>79213.358</f>
        <v>79213.357999999993</v>
      </c>
      <c r="CI50">
        <f>80111.137</f>
        <v>80111.137000000002</v>
      </c>
      <c r="CJ50">
        <f>81133.241</f>
        <v>81133.240999999995</v>
      </c>
      <c r="CK50">
        <f>82391.316</f>
        <v>82391.316000000006</v>
      </c>
      <c r="CL50">
        <f>82920.531</f>
        <v>82920.531000000003</v>
      </c>
      <c r="CM50">
        <f>82015.798</f>
        <v>82015.797999999995</v>
      </c>
      <c r="CN50">
        <f>84155.272</f>
        <v>84155.271999999997</v>
      </c>
      <c r="CO50">
        <f>70227.331</f>
        <v>70227.331000000006</v>
      </c>
      <c r="CP50">
        <f>66742.24</f>
        <v>66742.240000000005</v>
      </c>
      <c r="CQ50">
        <f>68461.245</f>
        <v>68461.244999999995</v>
      </c>
      <c r="CR50">
        <f>68907.047</f>
        <v>68907.047000000006</v>
      </c>
      <c r="CS50">
        <f>67493.003</f>
        <v>67493.002999999997</v>
      </c>
      <c r="CT50">
        <f>66512.265</f>
        <v>66512.264999999999</v>
      </c>
      <c r="CU50">
        <f>66586.088</f>
        <v>66586.088000000003</v>
      </c>
      <c r="CV50">
        <f>65079.208</f>
        <v>65079.207999999999</v>
      </c>
      <c r="CW50">
        <f>65170.181</f>
        <v>65170.180999999997</v>
      </c>
      <c r="CX50">
        <f>63678.411</f>
        <v>63678.411</v>
      </c>
      <c r="CY50">
        <f>63141.971</f>
        <v>63141.970999999998</v>
      </c>
      <c r="CZ50">
        <f>62802.674</f>
        <v>62802.673999999999</v>
      </c>
      <c r="DA50">
        <f>62559.735</f>
        <v>62559.735000000001</v>
      </c>
      <c r="DB50">
        <f>62006.911</f>
        <v>62006.911</v>
      </c>
      <c r="DC50">
        <f>61845.755</f>
        <v>61845.754999999997</v>
      </c>
      <c r="DD50">
        <f>61799.272</f>
        <v>61799.271999999997</v>
      </c>
      <c r="DE50">
        <f>60868.821</f>
        <v>60868.821000000004</v>
      </c>
      <c r="DF50">
        <f>60929.675</f>
        <v>60929.675000000003</v>
      </c>
      <c r="DG50">
        <f>61406.349</f>
        <v>61406.349000000002</v>
      </c>
      <c r="DH50">
        <f>62600.261</f>
        <v>62600.260999999999</v>
      </c>
      <c r="DI50">
        <f>64119.397</f>
        <v>64119.396999999997</v>
      </c>
      <c r="DJ50">
        <f>64071.09</f>
        <v>64071.09</v>
      </c>
      <c r="DK50">
        <f>61590.954</f>
        <v>61590.953999999998</v>
      </c>
      <c r="DL50">
        <f>55397.64</f>
        <v>55397.64</v>
      </c>
      <c r="DM50">
        <f>60881.072</f>
        <v>60881.072</v>
      </c>
      <c r="DN50">
        <f>38751.586</f>
        <v>38751.586000000003</v>
      </c>
      <c r="DO50">
        <f>38537.265</f>
        <v>38537.264999999999</v>
      </c>
      <c r="DP50">
        <f>39467.295</f>
        <v>39467.294999999998</v>
      </c>
      <c r="DQ50">
        <f>41559.789</f>
        <v>41559.788999999997</v>
      </c>
      <c r="DR50">
        <f>41530.574</f>
        <v>41530.574000000001</v>
      </c>
      <c r="DS50">
        <f>40074.543</f>
        <v>40074.542999999998</v>
      </c>
      <c r="DT50">
        <f>39566.559</f>
        <v>39566.559000000001</v>
      </c>
      <c r="DU50" t="str">
        <f>""</f>
        <v/>
      </c>
    </row>
    <row r="51" spans="1:125" x14ac:dyDescent="0.25">
      <c r="A51" t="str">
        <f>"                Comerica Inc"</f>
        <v xml:space="preserve">                Comerica Inc</v>
      </c>
      <c r="B51" t="str">
        <f>"CMA US Equity"</f>
        <v>CMA US Equity</v>
      </c>
      <c r="C51" t="str">
        <f t="shared" si="6"/>
        <v>FC023</v>
      </c>
      <c r="D51" t="str">
        <f t="shared" si="7"/>
        <v>FDIC_TOTAL_SECURITIES</v>
      </c>
      <c r="E51" t="str">
        <f t="shared" si="8"/>
        <v>Dynamic</v>
      </c>
      <c r="F51" t="str">
        <f ca="1">IF(AND(ISNUMBER($F$191),$B$145=1),$F$191,HLOOKUP(INDIRECT(ADDRESS(2,COLUMN())),OFFSET($BN$2,0,0,ROW()-1,60),ROW()-1,FALSE))</f>
        <v/>
      </c>
      <c r="G51">
        <f ca="1">IF(AND(ISNUMBER($G$191),$B$145=1),$G$191,HLOOKUP(INDIRECT(ADDRESS(2,COLUMN())),OFFSET($BN$2,0,0,ROW()-1,60),ROW()-1,FALSE))</f>
        <v>15886</v>
      </c>
      <c r="H51">
        <f ca="1">IF(AND(ISNUMBER($H$191),$B$145=1),$H$191,HLOOKUP(INDIRECT(ADDRESS(2,COLUMN())),OFFSET($BN$2,0,0,ROW()-1,60),ROW()-1,FALSE))</f>
        <v>15656</v>
      </c>
      <c r="I51">
        <f ca="1">IF(AND(ISNUMBER($I$191),$B$145=1),$I$191,HLOOKUP(INDIRECT(ADDRESS(2,COLUMN())),OFFSET($BN$2,0,0,ROW()-1,60),ROW()-1,FALSE))</f>
        <v>16245</v>
      </c>
      <c r="J51">
        <f ca="1">IF(AND(ISNUMBER($J$191),$B$145=1),$J$191,HLOOKUP(INDIRECT(ADDRESS(2,COLUMN())),OFFSET($BN$2,0,0,ROW()-1,60),ROW()-1,FALSE))</f>
        <v>16869</v>
      </c>
      <c r="K51">
        <f ca="1">IF(AND(ISNUMBER($K$191),$B$145=1),$K$191,HLOOKUP(INDIRECT(ADDRESS(2,COLUMN())),OFFSET($BN$2,0,0,ROW()-1,60),ROW()-1,FALSE))</f>
        <v>16323</v>
      </c>
      <c r="L51">
        <f ca="1">IF(AND(ISNUMBER($L$191),$B$145=1),$L$191,HLOOKUP(INDIRECT(ADDRESS(2,COLUMN())),OFFSET($BN$2,0,0,ROW()-1,60),ROW()-1,FALSE))</f>
        <v>17415</v>
      </c>
      <c r="M51">
        <f ca="1">IF(AND(ISNUMBER($M$191),$B$145=1),$M$191,HLOOKUP(INDIRECT(ADDRESS(2,COLUMN())),OFFSET($BN$2,0,0,ROW()-1,60),ROW()-1,FALSE))</f>
        <v>18295</v>
      </c>
      <c r="N51">
        <f ca="1">IF(AND(ISNUMBER($N$191),$B$145=1),$N$191,HLOOKUP(INDIRECT(ADDRESS(2,COLUMN())),OFFSET($BN$2,0,0,ROW()-1,60),ROW()-1,FALSE))</f>
        <v>19012</v>
      </c>
      <c r="O51">
        <f ca="1">IF(AND(ISNUMBER($O$191),$B$145=1),$O$191,HLOOKUP(INDIRECT(ADDRESS(2,COLUMN())),OFFSET($BN$2,0,0,ROW()-1,60),ROW()-1,FALSE))</f>
        <v>19452</v>
      </c>
      <c r="P51">
        <f ca="1">IF(AND(ISNUMBER($P$191),$B$145=1),$P$191,HLOOKUP(INDIRECT(ADDRESS(2,COLUMN())),OFFSET($BN$2,0,0,ROW()-1,60),ROW()-1,FALSE))</f>
        <v>20829</v>
      </c>
      <c r="Q51">
        <f ca="1">IF(AND(ISNUMBER($Q$191),$B$145=1),$Q$191,HLOOKUP(INDIRECT(ADDRESS(2,COLUMN())),OFFSET($BN$2,0,0,ROW()-1,60),ROW()-1,FALSE))</f>
        <v>18810</v>
      </c>
      <c r="R51">
        <f ca="1">IF(AND(ISNUMBER($R$191),$B$145=1),$R$191,HLOOKUP(INDIRECT(ADDRESS(2,COLUMN())),OFFSET($BN$2,0,0,ROW()-1,60),ROW()-1,FALSE))</f>
        <v>16986</v>
      </c>
      <c r="S51">
        <f ca="1">IF(AND(ISNUMBER($S$191),$B$145=1),$S$191,HLOOKUP(INDIRECT(ADDRESS(2,COLUMN())),OFFSET($BN$2,0,0,ROW()-1,60),ROW()-1,FALSE))</f>
        <v>16846</v>
      </c>
      <c r="T51">
        <f ca="1">IF(AND(ISNUMBER($T$191),$B$145=1),$T$191,HLOOKUP(INDIRECT(ADDRESS(2,COLUMN())),OFFSET($BN$2,0,0,ROW()-1,60),ROW()-1,FALSE))</f>
        <v>15837</v>
      </c>
      <c r="U51">
        <f ca="1">IF(AND(ISNUMBER($U$191),$B$145=1),$U$191,HLOOKUP(INDIRECT(ADDRESS(2,COLUMN())),OFFSET($BN$2,0,0,ROW()-1,60),ROW()-1,FALSE))</f>
        <v>15595</v>
      </c>
      <c r="V51">
        <f ca="1">IF(AND(ISNUMBER($V$191),$B$145=1),$V$191,HLOOKUP(INDIRECT(ADDRESS(2,COLUMN())),OFFSET($BN$2,0,0,ROW()-1,60),ROW()-1,FALSE))</f>
        <v>15028</v>
      </c>
      <c r="W51">
        <f ca="1">IF(AND(ISNUMBER($W$191),$B$145=1),$W$191,HLOOKUP(INDIRECT(ADDRESS(2,COLUMN())),OFFSET($BN$2,0,0,ROW()-1,60),ROW()-1,FALSE))</f>
        <v>15090</v>
      </c>
      <c r="X51">
        <f ca="1">IF(AND(ISNUMBER($X$191),$B$145=1),$X$191,HLOOKUP(INDIRECT(ADDRESS(2,COLUMN())),OFFSET($BN$2,0,0,ROW()-1,60),ROW()-1,FALSE))</f>
        <v>12759</v>
      </c>
      <c r="Y51">
        <f ca="1">IF(AND(ISNUMBER($Y$191),$B$145=1),$Y$191,HLOOKUP(INDIRECT(ADDRESS(2,COLUMN())),OFFSET($BN$2,0,0,ROW()-1,60),ROW()-1,FALSE))</f>
        <v>13041</v>
      </c>
      <c r="Z51">
        <f ca="1">IF(AND(ISNUMBER($Z$191),$B$145=1),$Z$191,HLOOKUP(INDIRECT(ADDRESS(2,COLUMN())),OFFSET($BN$2,0,0,ROW()-1,60),ROW()-1,FALSE))</f>
        <v>12398</v>
      </c>
      <c r="AA51">
        <f ca="1">IF(AND(ISNUMBER($AA$191),$B$145=1),$AA$191,HLOOKUP(INDIRECT(ADDRESS(2,COLUMN())),OFFSET($BN$2,0,0,ROW()-1,60),ROW()-1,FALSE))</f>
        <v>12429</v>
      </c>
      <c r="AB51">
        <f ca="1">IF(AND(ISNUMBER($AB$191),$B$145=1),$AB$191,HLOOKUP(INDIRECT(ADDRESS(2,COLUMN())),OFFSET($BN$2,0,0,ROW()-1,60),ROW()-1,FALSE))</f>
        <v>12338</v>
      </c>
      <c r="AC51">
        <f ca="1">IF(AND(ISNUMBER($AC$191),$B$145=1),$AC$191,HLOOKUP(INDIRECT(ADDRESS(2,COLUMN())),OFFSET($BN$2,0,0,ROW()-1,60),ROW()-1,FALSE))</f>
        <v>12212</v>
      </c>
      <c r="AD51">
        <f ca="1">IF(AND(ISNUMBER($AD$191),$B$145=1),$AD$191,HLOOKUP(INDIRECT(ADDRESS(2,COLUMN())),OFFSET($BN$2,0,0,ROW()-1,60),ROW()-1,FALSE))</f>
        <v>12044.962</v>
      </c>
      <c r="AE51">
        <f ca="1">IF(AND(ISNUMBER($AE$191),$B$145=1),$AE$191,HLOOKUP(INDIRECT(ADDRESS(2,COLUMN())),OFFSET($BN$2,0,0,ROW()-1,60),ROW()-1,FALSE))</f>
        <v>11861.776</v>
      </c>
      <c r="AF51">
        <f ca="1">IF(AND(ISNUMBER($AF$191),$B$145=1),$AF$191,HLOOKUP(INDIRECT(ADDRESS(2,COLUMN())),OFFSET($BN$2,0,0,ROW()-1,60),ROW()-1,FALSE))</f>
        <v>11914.958000000001</v>
      </c>
      <c r="AG51">
        <f ca="1">IF(AND(ISNUMBER($AG$191),$B$145=1),$AG$191,HLOOKUP(INDIRECT(ADDRESS(2,COLUMN())),OFFSET($BN$2,0,0,ROW()-1,60),ROW()-1,FALSE))</f>
        <v>11971.209000000001</v>
      </c>
      <c r="AH51">
        <f ca="1">IF(AND(ISNUMBER($AH$191),$B$145=1),$AH$191,HLOOKUP(INDIRECT(ADDRESS(2,COLUMN())),OFFSET($BN$2,0,0,ROW()-1,60),ROW()-1,FALSE))</f>
        <v>12203.981</v>
      </c>
      <c r="AI51">
        <f ca="1">IF(AND(ISNUMBER($AI$191),$B$145=1),$AI$191,HLOOKUP(INDIRECT(ADDRESS(2,COLUMN())),OFFSET($BN$2,0,0,ROW()-1,60),ROW()-1,FALSE))</f>
        <v>12342.07</v>
      </c>
      <c r="AJ51">
        <f ca="1">IF(AND(ISNUMBER($AJ$191),$B$145=1),$AJ$191,HLOOKUP(INDIRECT(ADDRESS(2,COLUMN())),OFFSET($BN$2,0,0,ROW()-1,60),ROW()-1,FALSE))</f>
        <v>12374.273999999999</v>
      </c>
      <c r="AK51">
        <f ca="1">IF(AND(ISNUMBER($AK$191),$B$145=1),$AK$191,HLOOKUP(INDIRECT(ADDRESS(2,COLUMN())),OFFSET($BN$2,0,0,ROW()-1,60),ROW()-1,FALSE))</f>
        <v>12338.156999999999</v>
      </c>
      <c r="AL51">
        <f ca="1">IF(AND(ISNUMBER($AL$191),$B$145=1),$AL$191,HLOOKUP(INDIRECT(ADDRESS(2,COLUMN())),OFFSET($BN$2,0,0,ROW()-1,60),ROW()-1,FALSE))</f>
        <v>12369.017</v>
      </c>
      <c r="AM51">
        <f ca="1">IF(AND(ISNUMBER($AM$191),$B$145=1),$AM$191,HLOOKUP(INDIRECT(ADDRESS(2,COLUMN())),OFFSET($BN$2,0,0,ROW()-1,60),ROW()-1,FALSE))</f>
        <v>12483.831</v>
      </c>
      <c r="AN51">
        <f ca="1">IF(AND(ISNUMBER($AN$191),$B$145=1),$AN$191,HLOOKUP(INDIRECT(ADDRESS(2,COLUMN())),OFFSET($BN$2,0,0,ROW()-1,60),ROW()-1,FALSE))</f>
        <v>12518.656000000001</v>
      </c>
      <c r="AO51">
        <f ca="1">IF(AND(ISNUMBER($AO$191),$B$145=1),$AO$191,HLOOKUP(INDIRECT(ADDRESS(2,COLUMN())),OFFSET($BN$2,0,0,ROW()-1,60),ROW()-1,FALSE))</f>
        <v>12513.814</v>
      </c>
      <c r="AP51">
        <f ca="1">IF(AND(ISNUMBER($AP$191),$B$145=1),$AP$191,HLOOKUP(INDIRECT(ADDRESS(2,COLUMN())),OFFSET($BN$2,0,0,ROW()-1,60),ROW()-1,FALSE))</f>
        <v>12499.89</v>
      </c>
      <c r="AQ51">
        <f ca="1">IF(AND(ISNUMBER($AQ$191),$B$145=1),$AQ$191,HLOOKUP(INDIRECT(ADDRESS(2,COLUMN())),OFFSET($BN$2,0,0,ROW()-1,60),ROW()-1,FALSE))</f>
        <v>10611.803</v>
      </c>
      <c r="AR51">
        <f ca="1">IF(AND(ISNUMBER($AR$191),$B$145=1),$AR$191,HLOOKUP(INDIRECT(ADDRESS(2,COLUMN())),OFFSET($BN$2,0,0,ROW()-1,60),ROW()-1,FALSE))</f>
        <v>10219.34</v>
      </c>
      <c r="AS51">
        <f ca="1">IF(AND(ISNUMBER($AS$191),$B$145=1),$AS$191,HLOOKUP(INDIRECT(ADDRESS(2,COLUMN())),OFFSET($BN$2,0,0,ROW()-1,60),ROW()-1,FALSE))</f>
        <v>10084.808999999999</v>
      </c>
      <c r="AT51">
        <f ca="1">IF(AND(ISNUMBER($AT$191),$B$145=1),$AT$191,HLOOKUP(INDIRECT(ADDRESS(2,COLUMN())),OFFSET($BN$2,0,0,ROW()-1,60),ROW()-1,FALSE))</f>
        <v>10051.098</v>
      </c>
      <c r="AU51">
        <f ca="1">IF(AND(ISNUMBER($AU$191),$B$145=1),$AU$191,HLOOKUP(INDIRECT(ADDRESS(2,COLUMN())),OFFSET($BN$2,0,0,ROW()-1,60),ROW()-1,FALSE))</f>
        <v>9468.4770000000008</v>
      </c>
      <c r="AV51">
        <f ca="1">IF(AND(ISNUMBER($AV$191),$B$145=1),$AV$191,HLOOKUP(INDIRECT(ADDRESS(2,COLUMN())),OFFSET($BN$2,0,0,ROW()-1,60),ROW()-1,FALSE))</f>
        <v>9534.2690000000002</v>
      </c>
      <c r="AW51">
        <f ca="1">IF(AND(ISNUMBER($AW$191),$B$145=1),$AW$191,HLOOKUP(INDIRECT(ADDRESS(2,COLUMN())),OFFSET($BN$2,0,0,ROW()-1,60),ROW()-1,FALSE))</f>
        <v>9486.9150000000009</v>
      </c>
      <c r="AX51">
        <f ca="1">IF(AND(ISNUMBER($AX$191),$B$145=1),$AX$191,HLOOKUP(INDIRECT(ADDRESS(2,COLUMN())),OFFSET($BN$2,0,0,ROW()-1,60),ROW()-1,FALSE))</f>
        <v>9306.8240000000005</v>
      </c>
      <c r="AY51">
        <f ca="1">IF(AND(ISNUMBER($AY$191),$B$145=1),$AY$191,HLOOKUP(INDIRECT(ADDRESS(2,COLUMN())),OFFSET($BN$2,0,0,ROW()-1,60),ROW()-1,FALSE))</f>
        <v>9487.8070000000007</v>
      </c>
      <c r="AZ51">
        <f ca="1">IF(AND(ISNUMBER($AZ$191),$B$145=1),$AZ$191,HLOOKUP(INDIRECT(ADDRESS(2,COLUMN())),OFFSET($BN$2,0,0,ROW()-1,60),ROW()-1,FALSE))</f>
        <v>9630.8960000000006</v>
      </c>
      <c r="BA51">
        <f ca="1">IF(AND(ISNUMBER($BA$191),$B$145=1),$BA$191,HLOOKUP(INDIRECT(ADDRESS(2,COLUMN())),OFFSET($BN$2,0,0,ROW()-1,60),ROW()-1,FALSE))</f>
        <v>10285.710999999999</v>
      </c>
      <c r="BB51">
        <f ca="1">IF(AND(ISNUMBER($BB$191),$B$145=1),$BB$191,HLOOKUP(INDIRECT(ADDRESS(2,COLUMN())),OFFSET($BN$2,0,0,ROW()-1,60),ROW()-1,FALSE))</f>
        <v>10296.532999999999</v>
      </c>
      <c r="BC51">
        <f ca="1">IF(AND(ISNUMBER($BC$191),$B$145=1),$BC$191,HLOOKUP(INDIRECT(ADDRESS(2,COLUMN())),OFFSET($BN$2,0,0,ROW()-1,60),ROW()-1,FALSE))</f>
        <v>10569.708000000001</v>
      </c>
      <c r="BD51">
        <f ca="1">IF(AND(ISNUMBER($BD$191),$B$145=1),$BD$191,HLOOKUP(INDIRECT(ADDRESS(2,COLUMN())),OFFSET($BN$2,0,0,ROW()-1,60),ROW()-1,FALSE))</f>
        <v>9939.7080000000005</v>
      </c>
      <c r="BE51">
        <f ca="1">IF(AND(ISNUMBER($BE$191),$B$145=1),$BE$191,HLOOKUP(INDIRECT(ADDRESS(2,COLUMN())),OFFSET($BN$2,0,0,ROW()-1,60),ROW()-1,FALSE))</f>
        <v>10060.642</v>
      </c>
      <c r="BF51">
        <f ca="1">IF(AND(ISNUMBER($BF$191),$B$145=1),$BF$191,HLOOKUP(INDIRECT(ADDRESS(2,COLUMN())),OFFSET($BN$2,0,0,ROW()-1,60),ROW()-1,FALSE))</f>
        <v>10103.412</v>
      </c>
      <c r="BG51">
        <f ca="1">IF(AND(ISNUMBER($BG$191),$B$145=1),$BG$191,HLOOKUP(INDIRECT(ADDRESS(2,COLUMN())),OFFSET($BN$2,0,0,ROW()-1,60),ROW()-1,FALSE))</f>
        <v>9731.9220000000005</v>
      </c>
      <c r="BH51">
        <f ca="1">IF(AND(ISNUMBER($BH$191),$B$145=1),$BH$191,HLOOKUP(INDIRECT(ADDRESS(2,COLUMN())),OFFSET($BN$2,0,0,ROW()-1,60),ROW()-1,FALSE))</f>
        <v>7536.5240000000003</v>
      </c>
      <c r="BI51">
        <f ca="1">IF(AND(ISNUMBER($BI$191),$B$145=1),$BI$191,HLOOKUP(INDIRECT(ADDRESS(2,COLUMN())),OFFSET($BN$2,0,0,ROW()-1,60),ROW()-1,FALSE))</f>
        <v>7405.942</v>
      </c>
      <c r="BJ51">
        <f ca="1">IF(AND(ISNUMBER($BJ$191),$B$145=1),$BJ$191,HLOOKUP(INDIRECT(ADDRESS(2,COLUMN())),OFFSET($BN$2,0,0,ROW()-1,60),ROW()-1,FALSE))</f>
        <v>7559.9589999999998</v>
      </c>
      <c r="BK51">
        <f ca="1">IF(AND(ISNUMBER($BK$191),$B$145=1),$BK$191,HLOOKUP(INDIRECT(ADDRESS(2,COLUMN())),OFFSET($BN$2,0,0,ROW()-1,60),ROW()-1,FALSE))</f>
        <v>6816.02</v>
      </c>
      <c r="BL51">
        <f ca="1">IF(AND(ISNUMBER($BL$191),$B$145=1),$BL$191,HLOOKUP(INDIRECT(ADDRESS(2,COLUMN())),OFFSET($BN$2,0,0,ROW()-1,60),ROW()-1,FALSE))</f>
        <v>7187.9480000000003</v>
      </c>
      <c r="BM51">
        <f ca="1">IF(AND(ISNUMBER($BM$191),$B$145=1),$BM$191,HLOOKUP(INDIRECT(ADDRESS(2,COLUMN())),OFFSET($BN$2,0,0,ROW()-1,60),ROW()-1,FALSE))</f>
        <v>7346.2870000000003</v>
      </c>
      <c r="BN51" t="str">
        <f>""</f>
        <v/>
      </c>
      <c r="BO51">
        <f>15886</f>
        <v>15886</v>
      </c>
      <c r="BP51">
        <f>15656</f>
        <v>15656</v>
      </c>
      <c r="BQ51">
        <f>16245</f>
        <v>16245</v>
      </c>
      <c r="BR51">
        <f>16869</f>
        <v>16869</v>
      </c>
      <c r="BS51">
        <f>16323</f>
        <v>16323</v>
      </c>
      <c r="BT51">
        <f>17415</f>
        <v>17415</v>
      </c>
      <c r="BU51">
        <f>18295</f>
        <v>18295</v>
      </c>
      <c r="BV51">
        <f>19012</f>
        <v>19012</v>
      </c>
      <c r="BW51">
        <f>19452</f>
        <v>19452</v>
      </c>
      <c r="BX51">
        <f>20829</f>
        <v>20829</v>
      </c>
      <c r="BY51">
        <f>18810</f>
        <v>18810</v>
      </c>
      <c r="BZ51">
        <f>16986</f>
        <v>16986</v>
      </c>
      <c r="CA51">
        <f>16846</f>
        <v>16846</v>
      </c>
      <c r="CB51">
        <f>15837</f>
        <v>15837</v>
      </c>
      <c r="CC51">
        <f>15595</f>
        <v>15595</v>
      </c>
      <c r="CD51">
        <f>15028</f>
        <v>15028</v>
      </c>
      <c r="CE51">
        <f>15090</f>
        <v>15090</v>
      </c>
      <c r="CF51">
        <f>12759</f>
        <v>12759</v>
      </c>
      <c r="CG51">
        <f>13041</f>
        <v>13041</v>
      </c>
      <c r="CH51">
        <f>12398</f>
        <v>12398</v>
      </c>
      <c r="CI51">
        <f>12429</f>
        <v>12429</v>
      </c>
      <c r="CJ51">
        <f>12338</f>
        <v>12338</v>
      </c>
      <c r="CK51">
        <f>12212</f>
        <v>12212</v>
      </c>
      <c r="CL51">
        <f>12044.962</f>
        <v>12044.962</v>
      </c>
      <c r="CM51">
        <f>11861.776</f>
        <v>11861.776</v>
      </c>
      <c r="CN51">
        <f>11914.958</f>
        <v>11914.958000000001</v>
      </c>
      <c r="CO51">
        <f>11971.209</f>
        <v>11971.209000000001</v>
      </c>
      <c r="CP51">
        <f>12203.981</f>
        <v>12203.981</v>
      </c>
      <c r="CQ51">
        <f>12342.07</f>
        <v>12342.07</v>
      </c>
      <c r="CR51">
        <f>12374.274</f>
        <v>12374.273999999999</v>
      </c>
      <c r="CS51">
        <f>12338.157</f>
        <v>12338.156999999999</v>
      </c>
      <c r="CT51">
        <f>12369.017</f>
        <v>12369.017</v>
      </c>
      <c r="CU51">
        <f>12483.831</f>
        <v>12483.831</v>
      </c>
      <c r="CV51">
        <f>12518.656</f>
        <v>12518.656000000001</v>
      </c>
      <c r="CW51">
        <f>12513.814</f>
        <v>12513.814</v>
      </c>
      <c r="CX51">
        <f>12499.89</f>
        <v>12499.89</v>
      </c>
      <c r="CY51">
        <f>10611.803</f>
        <v>10611.803</v>
      </c>
      <c r="CZ51">
        <f>10219.34</f>
        <v>10219.34</v>
      </c>
      <c r="DA51">
        <f>10084.809</f>
        <v>10084.808999999999</v>
      </c>
      <c r="DB51">
        <f>10051.098</f>
        <v>10051.098</v>
      </c>
      <c r="DC51">
        <f>9468.477</f>
        <v>9468.4770000000008</v>
      </c>
      <c r="DD51">
        <f>9534.269</f>
        <v>9534.2690000000002</v>
      </c>
      <c r="DE51">
        <f>9486.915</f>
        <v>9486.9150000000009</v>
      </c>
      <c r="DF51">
        <f>9306.824</f>
        <v>9306.8240000000005</v>
      </c>
      <c r="DG51">
        <f>9487.807</f>
        <v>9487.8070000000007</v>
      </c>
      <c r="DH51">
        <f>9630.896</f>
        <v>9630.8960000000006</v>
      </c>
      <c r="DI51">
        <f>10285.711</f>
        <v>10285.710999999999</v>
      </c>
      <c r="DJ51">
        <f>10296.533</f>
        <v>10296.532999999999</v>
      </c>
      <c r="DK51">
        <f>10569.708</f>
        <v>10569.708000000001</v>
      </c>
      <c r="DL51">
        <f>9939.708</f>
        <v>9939.7080000000005</v>
      </c>
      <c r="DM51">
        <f>10060.642</f>
        <v>10060.642</v>
      </c>
      <c r="DN51">
        <f>10103.412</f>
        <v>10103.412</v>
      </c>
      <c r="DO51">
        <f>9731.922</f>
        <v>9731.9220000000005</v>
      </c>
      <c r="DP51">
        <f>7536.524</f>
        <v>7536.5240000000003</v>
      </c>
      <c r="DQ51">
        <f>7405.942</f>
        <v>7405.942</v>
      </c>
      <c r="DR51">
        <f>7559.959</f>
        <v>7559.9589999999998</v>
      </c>
      <c r="DS51">
        <f>6816.02</f>
        <v>6816.02</v>
      </c>
      <c r="DT51">
        <f>7187.948</f>
        <v>7187.9480000000003</v>
      </c>
      <c r="DU51">
        <f>7346.287</f>
        <v>7346.2870000000003</v>
      </c>
    </row>
    <row r="52" spans="1:125" x14ac:dyDescent="0.25">
      <c r="A52" t="str">
        <f>"                East West Bancorp Inc"</f>
        <v xml:space="preserve">                East West Bancorp Inc</v>
      </c>
      <c r="B52" t="str">
        <f>"EWBC US Equity"</f>
        <v>EWBC US Equity</v>
      </c>
      <c r="C52" t="str">
        <f t="shared" si="6"/>
        <v>FC023</v>
      </c>
      <c r="D52" t="str">
        <f t="shared" si="7"/>
        <v>FDIC_TOTAL_SECURITIES</v>
      </c>
      <c r="E52" t="str">
        <f t="shared" si="8"/>
        <v>Dynamic</v>
      </c>
      <c r="F52">
        <f ca="1">IF(AND(ISNUMBER($F$192),$B$145=1),$F$192,HLOOKUP(INDIRECT(ADDRESS(2,COLUMN())),OFFSET($BN$2,0,0,ROW()-1,60),ROW()-1,FALSE))</f>
        <v>13764.224</v>
      </c>
      <c r="G52">
        <f ca="1">IF(AND(ISNUMBER($G$192),$B$145=1),$G$192,HLOOKUP(INDIRECT(ADDRESS(2,COLUMN())),OFFSET($BN$2,0,0,ROW()-1,60),ROW()-1,FALSE))</f>
        <v>13062.276</v>
      </c>
      <c r="H52">
        <f ca="1">IF(AND(ISNUMBER($H$192),$B$145=1),$H$192,HLOOKUP(INDIRECT(ADDRESS(2,COLUMN())),OFFSET($BN$2,0,0,ROW()-1,60),ROW()-1,FALSE))</f>
        <v>11861.778</v>
      </c>
      <c r="I52">
        <f ca="1">IF(AND(ISNUMBER($I$192),$B$145=1),$I$192,HLOOKUP(INDIRECT(ADDRESS(2,COLUMN())),OFFSET($BN$2,0,0,ROW()-1,60),ROW()-1,FALSE))</f>
        <v>11349.11</v>
      </c>
      <c r="J52">
        <f ca="1">IF(AND(ISNUMBER($J$192),$B$145=1),$J$192,HLOOKUP(INDIRECT(ADDRESS(2,COLUMN())),OFFSET($BN$2,0,0,ROW()-1,60),ROW()-1,FALSE))</f>
        <v>9144.3770000000004</v>
      </c>
      <c r="K52">
        <f ca="1">IF(AND(ISNUMBER($K$192),$B$145=1),$K$192,HLOOKUP(INDIRECT(ADDRESS(2,COLUMN())),OFFSET($BN$2,0,0,ROW()-1,60),ROW()-1,FALSE))</f>
        <v>9004.0720000000001</v>
      </c>
      <c r="L52">
        <f ca="1">IF(AND(ISNUMBER($L$192),$B$145=1),$L$192,HLOOKUP(INDIRECT(ADDRESS(2,COLUMN())),OFFSET($BN$2,0,0,ROW()-1,60),ROW()-1,FALSE))</f>
        <v>8963.1910000000007</v>
      </c>
      <c r="M52">
        <f ca="1">IF(AND(ISNUMBER($M$192),$B$145=1),$M$192,HLOOKUP(INDIRECT(ADDRESS(2,COLUMN())),OFFSET($BN$2,0,0,ROW()-1,60),ROW()-1,FALSE))</f>
        <v>9294.2890000000007</v>
      </c>
      <c r="N52">
        <f ca="1">IF(AND(ISNUMBER($N$192),$B$145=1),$N$192,HLOOKUP(INDIRECT(ADDRESS(2,COLUMN())),OFFSET($BN$2,0,0,ROW()-1,60),ROW()-1,FALSE))</f>
        <v>9036.8610000000008</v>
      </c>
      <c r="O52">
        <f ca="1">IF(AND(ISNUMBER($O$192),$B$145=1),$O$192,HLOOKUP(INDIRECT(ADDRESS(2,COLUMN())),OFFSET($BN$2,0,0,ROW()-1,60),ROW()-1,FALSE))</f>
        <v>8918.7569999999996</v>
      </c>
      <c r="P52">
        <f ca="1">IF(AND(ISNUMBER($P$192),$B$145=1),$P$192,HLOOKUP(INDIRECT(ADDRESS(2,COLUMN())),OFFSET($BN$2,0,0,ROW()-1,60),ROW()-1,FALSE))</f>
        <v>9283.8060000000005</v>
      </c>
      <c r="Q52">
        <f ca="1">IF(AND(ISNUMBER($Q$192),$B$145=1),$Q$192,HLOOKUP(INDIRECT(ADDRESS(2,COLUMN())),OFFSET($BN$2,0,0,ROW()-1,60),ROW()-1,FALSE))</f>
        <v>9727.1329999999998</v>
      </c>
      <c r="R52">
        <f ca="1">IF(AND(ISNUMBER($R$192),$B$145=1),$R$192,HLOOKUP(INDIRECT(ADDRESS(2,COLUMN())),OFFSET($BN$2,0,0,ROW()-1,60),ROW()-1,FALSE))</f>
        <v>9965.3529999999992</v>
      </c>
      <c r="S52">
        <f ca="1">IF(AND(ISNUMBER($S$192),$B$145=1),$S$192,HLOOKUP(INDIRECT(ADDRESS(2,COLUMN())),OFFSET($BN$2,0,0,ROW()-1,60),ROW()-1,FALSE))</f>
        <v>9713.0059999999994</v>
      </c>
      <c r="T52">
        <f ca="1">IF(AND(ISNUMBER($T$192),$B$145=1),$T$192,HLOOKUP(INDIRECT(ADDRESS(2,COLUMN())),OFFSET($BN$2,0,0,ROW()-1,60),ROW()-1,FALSE))</f>
        <v>8399.4599999999991</v>
      </c>
      <c r="U52">
        <f ca="1">IF(AND(ISNUMBER($U$192),$B$145=1),$U$192,HLOOKUP(INDIRECT(ADDRESS(2,COLUMN())),OFFSET($BN$2,0,0,ROW()-1,60),ROW()-1,FALSE))</f>
        <v>7789.2129999999997</v>
      </c>
      <c r="V52">
        <f ca="1">IF(AND(ISNUMBER($V$192),$B$145=1),$V$192,HLOOKUP(INDIRECT(ADDRESS(2,COLUMN())),OFFSET($BN$2,0,0,ROW()-1,60),ROW()-1,FALSE))</f>
        <v>5544.6580000000004</v>
      </c>
      <c r="W52">
        <f ca="1">IF(AND(ISNUMBER($W$192),$B$145=1),$W$192,HLOOKUP(INDIRECT(ADDRESS(2,COLUMN())),OFFSET($BN$2,0,0,ROW()-1,60),ROW()-1,FALSE))</f>
        <v>4539.16</v>
      </c>
      <c r="X52">
        <f ca="1">IF(AND(ISNUMBER($X$192),$B$145=1),$X$192,HLOOKUP(INDIRECT(ADDRESS(2,COLUMN())),OFFSET($BN$2,0,0,ROW()-1,60),ROW()-1,FALSE))</f>
        <v>3884.5740000000001</v>
      </c>
      <c r="Y52">
        <f ca="1">IF(AND(ISNUMBER($Y$192),$B$145=1),$Y$192,HLOOKUP(INDIRECT(ADDRESS(2,COLUMN())),OFFSET($BN$2,0,0,ROW()-1,60),ROW()-1,FALSE))</f>
        <v>3695.9430000000002</v>
      </c>
      <c r="Z52">
        <f ca="1">IF(AND(ISNUMBER($Z$192),$B$145=1),$Z$192,HLOOKUP(INDIRECT(ADDRESS(2,COLUMN())),OFFSET($BN$2,0,0,ROW()-1,60),ROW()-1,FALSE))</f>
        <v>3317.2139999999999</v>
      </c>
      <c r="AA52">
        <f ca="1">IF(AND(ISNUMBER($AA$192),$B$145=1),$AA$192,HLOOKUP(INDIRECT(ADDRESS(2,COLUMN())),OFFSET($BN$2,0,0,ROW()-1,60),ROW()-1,FALSE))</f>
        <v>3284.0340000000001</v>
      </c>
      <c r="AB52">
        <f ca="1">IF(AND(ISNUMBER($AB$192),$B$145=1),$AB$192,HLOOKUP(INDIRECT(ADDRESS(2,COLUMN())),OFFSET($BN$2,0,0,ROW()-1,60),ROW()-1,FALSE))</f>
        <v>2592.913</v>
      </c>
      <c r="AC52">
        <f ca="1">IF(AND(ISNUMBER($AC$192),$B$145=1),$AC$192,HLOOKUP(INDIRECT(ADDRESS(2,COLUMN())),OFFSET($BN$2,0,0,ROW()-1,60),ROW()-1,FALSE))</f>
        <v>2640.1579999999999</v>
      </c>
      <c r="AD52">
        <f ca="1">IF(AND(ISNUMBER($AD$192),$B$145=1),$AD$192,HLOOKUP(INDIRECT(ADDRESS(2,COLUMN())),OFFSET($BN$2,0,0,ROW()-1,60),ROW()-1,FALSE))</f>
        <v>2741.8470000000002</v>
      </c>
      <c r="AE52">
        <f ca="1">IF(AND(ISNUMBER($AE$192),$B$145=1),$AE$192,HLOOKUP(INDIRECT(ADDRESS(2,COLUMN())),OFFSET($BN$2,0,0,ROW()-1,60),ROW()-1,FALSE))</f>
        <v>2676.51</v>
      </c>
      <c r="AF52">
        <f ca="1">IF(AND(ISNUMBER($AF$192),$B$145=1),$AF$192,HLOOKUP(INDIRECT(ADDRESS(2,COLUMN())),OFFSET($BN$2,0,0,ROW()-1,60),ROW()-1,FALSE))</f>
        <v>2707.444</v>
      </c>
      <c r="AG52">
        <f ca="1">IF(AND(ISNUMBER($AG$192),$B$145=1),$AG$192,HLOOKUP(INDIRECT(ADDRESS(2,COLUMN())),OFFSET($BN$2,0,0,ROW()-1,60),ROW()-1,FALSE))</f>
        <v>2811.4160000000002</v>
      </c>
      <c r="AH52">
        <f ca="1">IF(AND(ISNUMBER($AH$192),$B$145=1),$AH$192,HLOOKUP(INDIRECT(ADDRESS(2,COLUMN())),OFFSET($BN$2,0,0,ROW()-1,60),ROW()-1,FALSE))</f>
        <v>3016.752</v>
      </c>
      <c r="AI52">
        <f ca="1">IF(AND(ISNUMBER($AI$192),$B$145=1),$AI$192,HLOOKUP(INDIRECT(ADDRESS(2,COLUMN())),OFFSET($BN$2,0,0,ROW()-1,60),ROW()-1,FALSE))</f>
        <v>2956.7759999999998</v>
      </c>
      <c r="AJ52">
        <f ca="1">IF(AND(ISNUMBER($AJ$192),$B$145=1),$AJ$192,HLOOKUP(INDIRECT(ADDRESS(2,COLUMN())),OFFSET($BN$2,0,0,ROW()-1,60),ROW()-1,FALSE))</f>
        <v>2943.8560000000002</v>
      </c>
      <c r="AK52">
        <f ca="1">IF(AND(ISNUMBER($AK$192),$B$145=1),$AK$192,HLOOKUP(INDIRECT(ADDRESS(2,COLUMN())),OFFSET($BN$2,0,0,ROW()-1,60),ROW()-1,FALSE))</f>
        <v>3094.5309999999999</v>
      </c>
      <c r="AL52">
        <f ca="1">IF(AND(ISNUMBER($AL$192),$B$145=1),$AL$192,HLOOKUP(INDIRECT(ADDRESS(2,COLUMN())),OFFSET($BN$2,0,0,ROW()-1,60),ROW()-1,FALSE))</f>
        <v>3479.7660000000001</v>
      </c>
      <c r="AM52">
        <f ca="1">IF(AND(ISNUMBER($AM$192),$B$145=1),$AM$192,HLOOKUP(INDIRECT(ADDRESS(2,COLUMN())),OFFSET($BN$2,0,0,ROW()-1,60),ROW()-1,FALSE))</f>
        <v>3391.085</v>
      </c>
      <c r="AN52">
        <f ca="1">IF(AND(ISNUMBER($AN$192),$B$145=1),$AN$192,HLOOKUP(INDIRECT(ADDRESS(2,COLUMN())),OFFSET($BN$2,0,0,ROW()-1,60),ROW()-1,FALSE))</f>
        <v>3399.54</v>
      </c>
      <c r="AO52">
        <f ca="1">IF(AND(ISNUMBER($AO$192),$B$145=1),$AO$192,HLOOKUP(INDIRECT(ADDRESS(2,COLUMN())),OFFSET($BN$2,0,0,ROW()-1,60),ROW()-1,FALSE))</f>
        <v>3365.373</v>
      </c>
      <c r="AP52">
        <f ca="1">IF(AND(ISNUMBER($AP$192),$B$145=1),$AP$192,HLOOKUP(INDIRECT(ADDRESS(2,COLUMN())),OFFSET($BN$2,0,0,ROW()-1,60),ROW()-1,FALSE))</f>
        <v>3773.2260000000001</v>
      </c>
      <c r="AQ52">
        <f ca="1">IF(AND(ISNUMBER($AQ$192),$B$145=1),$AQ$192,HLOOKUP(INDIRECT(ADDRESS(2,COLUMN())),OFFSET($BN$2,0,0,ROW()-1,60),ROW()-1,FALSE))</f>
        <v>2952.277</v>
      </c>
      <c r="AR52">
        <f ca="1">IF(AND(ISNUMBER($AR$192),$B$145=1),$AR$192,HLOOKUP(INDIRECT(ADDRESS(2,COLUMN())),OFFSET($BN$2,0,0,ROW()-1,60),ROW()-1,FALSE))</f>
        <v>2982.1460000000002</v>
      </c>
      <c r="AS52">
        <f ca="1">IF(AND(ISNUMBER($AS$192),$B$145=1),$AS$192,HLOOKUP(INDIRECT(ADDRESS(2,COLUMN())),OFFSET($BN$2,0,0,ROW()-1,60),ROW()-1,FALSE))</f>
        <v>2841.085</v>
      </c>
      <c r="AT52">
        <f ca="1">IF(AND(ISNUMBER($AT$192),$B$145=1),$AT$192,HLOOKUP(INDIRECT(ADDRESS(2,COLUMN())),OFFSET($BN$2,0,0,ROW()-1,60),ROW()-1,FALSE))</f>
        <v>2618.8510000000001</v>
      </c>
      <c r="AU52">
        <f ca="1">IF(AND(ISNUMBER($AU$192),$B$145=1),$AU$192,HLOOKUP(INDIRECT(ADDRESS(2,COLUMN())),OFFSET($BN$2,0,0,ROW()-1,60),ROW()-1,FALSE))</f>
        <v>2585.145</v>
      </c>
      <c r="AV52">
        <f ca="1">IF(AND(ISNUMBER($AV$192),$B$145=1),$AV$192,HLOOKUP(INDIRECT(ADDRESS(2,COLUMN())),OFFSET($BN$2,0,0,ROW()-1,60),ROW()-1,FALSE))</f>
        <v>2528.71</v>
      </c>
      <c r="AW52">
        <f ca="1">IF(AND(ISNUMBER($AW$192),$B$145=1),$AW$192,HLOOKUP(INDIRECT(ADDRESS(2,COLUMN())),OFFSET($BN$2,0,0,ROW()-1,60),ROW()-1,FALSE))</f>
        <v>2473.7570000000001</v>
      </c>
      <c r="AX52">
        <f ca="1">IF(AND(ISNUMBER($AX$192),$B$145=1),$AX$192,HLOOKUP(INDIRECT(ADDRESS(2,COLUMN())),OFFSET($BN$2,0,0,ROW()-1,60),ROW()-1,FALSE))</f>
        <v>2734.4</v>
      </c>
      <c r="AY52">
        <f ca="1">IF(AND(ISNUMBER($AY$192),$B$145=1),$AY$192,HLOOKUP(INDIRECT(ADDRESS(2,COLUMN())),OFFSET($BN$2,0,0,ROW()-1,60),ROW()-1,FALSE))</f>
        <v>2894.3760000000002</v>
      </c>
      <c r="AZ52">
        <f ca="1">IF(AND(ISNUMBER($AZ$192),$B$145=1),$AZ$192,HLOOKUP(INDIRECT(ADDRESS(2,COLUMN())),OFFSET($BN$2,0,0,ROW()-1,60),ROW()-1,FALSE))</f>
        <v>2670.0990000000002</v>
      </c>
      <c r="BA52">
        <f ca="1">IF(AND(ISNUMBER($BA$192),$B$145=1),$BA$192,HLOOKUP(INDIRECT(ADDRESS(2,COLUMN())),OFFSET($BN$2,0,0,ROW()-1,60),ROW()-1,FALSE))</f>
        <v>2602.0520000000001</v>
      </c>
      <c r="BB52">
        <f ca="1">IF(AND(ISNUMBER($BB$192),$B$145=1),$BB$192,HLOOKUP(INDIRECT(ADDRESS(2,COLUMN())),OFFSET($BN$2,0,0,ROW()-1,60),ROW()-1,FALSE))</f>
        <v>2610.556</v>
      </c>
      <c r="BC52">
        <f ca="1">IF(AND(ISNUMBER($BC$192),$B$145=1),$BC$192,HLOOKUP(INDIRECT(ADDRESS(2,COLUMN())),OFFSET($BN$2,0,0,ROW()-1,60),ROW()-1,FALSE))</f>
        <v>2291.52</v>
      </c>
      <c r="BD52">
        <f ca="1">IF(AND(ISNUMBER($BD$192),$B$145=1),$BD$192,HLOOKUP(INDIRECT(ADDRESS(2,COLUMN())),OFFSET($BN$2,0,0,ROW()-1,60),ROW()-1,FALSE))</f>
        <v>1955.0650000000001</v>
      </c>
      <c r="BE52">
        <f ca="1">IF(AND(ISNUMBER($BE$192),$B$145=1),$BE$192,HLOOKUP(INDIRECT(ADDRESS(2,COLUMN())),OFFSET($BN$2,0,0,ROW()-1,60),ROW()-1,FALSE))</f>
        <v>2716.2849999999999</v>
      </c>
      <c r="BF52">
        <f ca="1">IF(AND(ISNUMBER($BF$192),$B$145=1),$BF$192,HLOOKUP(INDIRECT(ADDRESS(2,COLUMN())),OFFSET($BN$2,0,0,ROW()-1,60),ROW()-1,FALSE))</f>
        <v>3073.201</v>
      </c>
      <c r="BG52">
        <f ca="1">IF(AND(ISNUMBER($BG$192),$B$145=1),$BG$192,HLOOKUP(INDIRECT(ADDRESS(2,COLUMN())),OFFSET($BN$2,0,0,ROW()-1,60),ROW()-1,FALSE))</f>
        <v>3282.7809999999999</v>
      </c>
      <c r="BH52">
        <f ca="1">IF(AND(ISNUMBER($BH$192),$B$145=1),$BH$192,HLOOKUP(INDIRECT(ADDRESS(2,COLUMN())),OFFSET($BN$2,0,0,ROW()-1,60),ROW()-1,FALSE))</f>
        <v>3209.41</v>
      </c>
      <c r="BI52">
        <f ca="1">IF(AND(ISNUMBER($BI$192),$B$145=1),$BI$192,HLOOKUP(INDIRECT(ADDRESS(2,COLUMN())),OFFSET($BN$2,0,0,ROW()-1,60),ROW()-1,FALSE))</f>
        <v>3123.375</v>
      </c>
      <c r="BJ52">
        <f ca="1">IF(AND(ISNUMBER($BJ$192),$B$145=1),$BJ$192,HLOOKUP(INDIRECT(ADDRESS(2,COLUMN())),OFFSET($BN$2,0,0,ROW()-1,60),ROW()-1,FALSE))</f>
        <v>2890.9490000000001</v>
      </c>
      <c r="BK52">
        <f ca="1">IF(AND(ISNUMBER($BK$192),$B$145=1),$BK$192,HLOOKUP(INDIRECT(ADDRESS(2,COLUMN())),OFFSET($BN$2,0,0,ROW()-1,60),ROW()-1,FALSE))</f>
        <v>2908.127</v>
      </c>
      <c r="BL52">
        <f ca="1">IF(AND(ISNUMBER($BL$192),$B$145=1),$BL$192,HLOOKUP(INDIRECT(ADDRESS(2,COLUMN())),OFFSET($BN$2,0,0,ROW()-1,60),ROW()-1,FALSE))</f>
        <v>2127.5590000000002</v>
      </c>
      <c r="BM52" t="str">
        <f ca="1">IF(AND(ISNUMBER($BM$192),$B$145=1),$BM$192,HLOOKUP(INDIRECT(ADDRESS(2,COLUMN())),OFFSET($BN$2,0,0,ROW()-1,60),ROW()-1,FALSE))</f>
        <v/>
      </c>
      <c r="BN52">
        <f>13764.224</f>
        <v>13764.224</v>
      </c>
      <c r="BO52">
        <f>13062.276</f>
        <v>13062.276</v>
      </c>
      <c r="BP52">
        <f>11861.778</f>
        <v>11861.778</v>
      </c>
      <c r="BQ52">
        <f>11349.11</f>
        <v>11349.11</v>
      </c>
      <c r="BR52">
        <f>9144.377</f>
        <v>9144.3770000000004</v>
      </c>
      <c r="BS52">
        <f>9004.072</f>
        <v>9004.0720000000001</v>
      </c>
      <c r="BT52">
        <f>8963.191</f>
        <v>8963.1910000000007</v>
      </c>
      <c r="BU52">
        <f>9294.289</f>
        <v>9294.2890000000007</v>
      </c>
      <c r="BV52">
        <f>9036.861</f>
        <v>9036.8610000000008</v>
      </c>
      <c r="BW52">
        <f>8918.757</f>
        <v>8918.7569999999996</v>
      </c>
      <c r="BX52">
        <f>9283.806</f>
        <v>9283.8060000000005</v>
      </c>
      <c r="BY52">
        <f>9727.133</f>
        <v>9727.1329999999998</v>
      </c>
      <c r="BZ52">
        <f>9965.353</f>
        <v>9965.3529999999992</v>
      </c>
      <c r="CA52">
        <f>9713.006</f>
        <v>9713.0059999999994</v>
      </c>
      <c r="CB52">
        <f>8399.46</f>
        <v>8399.4599999999991</v>
      </c>
      <c r="CC52">
        <f>7789.213</f>
        <v>7789.2129999999997</v>
      </c>
      <c r="CD52">
        <f>5544.658</f>
        <v>5544.6580000000004</v>
      </c>
      <c r="CE52">
        <f>4539.16</f>
        <v>4539.16</v>
      </c>
      <c r="CF52">
        <f>3884.574</f>
        <v>3884.5740000000001</v>
      </c>
      <c r="CG52">
        <f>3695.943</f>
        <v>3695.9430000000002</v>
      </c>
      <c r="CH52">
        <f>3317.214</f>
        <v>3317.2139999999999</v>
      </c>
      <c r="CI52">
        <f>3284.034</f>
        <v>3284.0340000000001</v>
      </c>
      <c r="CJ52">
        <f>2592.913</f>
        <v>2592.913</v>
      </c>
      <c r="CK52">
        <f>2640.158</f>
        <v>2640.1579999999999</v>
      </c>
      <c r="CL52">
        <f>2741.847</f>
        <v>2741.8470000000002</v>
      </c>
      <c r="CM52">
        <f>2676.51</f>
        <v>2676.51</v>
      </c>
      <c r="CN52">
        <f>2707.444</f>
        <v>2707.444</v>
      </c>
      <c r="CO52">
        <f>2811.416</f>
        <v>2811.4160000000002</v>
      </c>
      <c r="CP52">
        <f>3016.752</f>
        <v>3016.752</v>
      </c>
      <c r="CQ52">
        <f>2956.776</f>
        <v>2956.7759999999998</v>
      </c>
      <c r="CR52">
        <f>2943.856</f>
        <v>2943.8560000000002</v>
      </c>
      <c r="CS52">
        <f>3094.531</f>
        <v>3094.5309999999999</v>
      </c>
      <c r="CT52">
        <f>3479.766</f>
        <v>3479.7660000000001</v>
      </c>
      <c r="CU52">
        <f>3391.085</f>
        <v>3391.085</v>
      </c>
      <c r="CV52">
        <f>3399.54</f>
        <v>3399.54</v>
      </c>
      <c r="CW52">
        <f>3365.373</f>
        <v>3365.373</v>
      </c>
      <c r="CX52">
        <f>3773.226</f>
        <v>3773.2260000000001</v>
      </c>
      <c r="CY52">
        <f>2952.277</f>
        <v>2952.277</v>
      </c>
      <c r="CZ52">
        <f>2982.146</f>
        <v>2982.1460000000002</v>
      </c>
      <c r="DA52">
        <f>2841.085</f>
        <v>2841.085</v>
      </c>
      <c r="DB52">
        <f>2618.851</f>
        <v>2618.8510000000001</v>
      </c>
      <c r="DC52">
        <f>2585.145</f>
        <v>2585.145</v>
      </c>
      <c r="DD52">
        <f>2528.71</f>
        <v>2528.71</v>
      </c>
      <c r="DE52">
        <f>2473.757</f>
        <v>2473.7570000000001</v>
      </c>
      <c r="DF52">
        <f>2734.4</f>
        <v>2734.4</v>
      </c>
      <c r="DG52">
        <f>2894.376</f>
        <v>2894.3760000000002</v>
      </c>
      <c r="DH52">
        <f>2670.099</f>
        <v>2670.0990000000002</v>
      </c>
      <c r="DI52">
        <f>2602.052</f>
        <v>2602.0520000000001</v>
      </c>
      <c r="DJ52">
        <f>2610.556</f>
        <v>2610.556</v>
      </c>
      <c r="DK52">
        <f>2291.52</f>
        <v>2291.52</v>
      </c>
      <c r="DL52">
        <f>1955.065</f>
        <v>1955.0650000000001</v>
      </c>
      <c r="DM52">
        <f>2716.285</f>
        <v>2716.2849999999999</v>
      </c>
      <c r="DN52">
        <f>3073.201</f>
        <v>3073.201</v>
      </c>
      <c r="DO52">
        <f>3282.781</f>
        <v>3282.7809999999999</v>
      </c>
      <c r="DP52">
        <f>3209.41</f>
        <v>3209.41</v>
      </c>
      <c r="DQ52">
        <f>3123.375</f>
        <v>3123.375</v>
      </c>
      <c r="DR52">
        <f>2890.949</f>
        <v>2890.9490000000001</v>
      </c>
      <c r="DS52">
        <f>2908.127</f>
        <v>2908.127</v>
      </c>
      <c r="DT52">
        <f>2127.559</f>
        <v>2127.5590000000002</v>
      </c>
      <c r="DU52" t="str">
        <f>""</f>
        <v/>
      </c>
    </row>
    <row r="53" spans="1:125" x14ac:dyDescent="0.25">
      <c r="A53" t="str">
        <f>"                Fifth Third Bancorp"</f>
        <v xml:space="preserve">                Fifth Third Bancorp</v>
      </c>
      <c r="B53" t="str">
        <f>"FITB US Equity"</f>
        <v>FITB US Equity</v>
      </c>
      <c r="C53" t="str">
        <f t="shared" si="6"/>
        <v>FC023</v>
      </c>
      <c r="D53" t="str">
        <f t="shared" si="7"/>
        <v>FDIC_TOTAL_SECURITIES</v>
      </c>
      <c r="E53" t="str">
        <f t="shared" si="8"/>
        <v>Dynamic</v>
      </c>
      <c r="F53">
        <f ca="1">IF(AND(ISNUMBER($F$193),$B$145=1),$F$193,HLOOKUP(INDIRECT(ADDRESS(2,COLUMN())),OFFSET($BN$2,0,0,ROW()-1,60),ROW()-1,FALSE))</f>
        <v>50045</v>
      </c>
      <c r="G53">
        <f ca="1">IF(AND(ISNUMBER($G$193),$B$145=1),$G$193,HLOOKUP(INDIRECT(ADDRESS(2,COLUMN())),OFFSET($BN$2,0,0,ROW()-1,60),ROW()-1,FALSE))</f>
        <v>50975</v>
      </c>
      <c r="H53">
        <f ca="1">IF(AND(ISNUMBER($H$193),$B$145=1),$H$193,HLOOKUP(INDIRECT(ADDRESS(2,COLUMN())),OFFSET($BN$2,0,0,ROW()-1,60),ROW()-1,FALSE))</f>
        <v>49634</v>
      </c>
      <c r="I53">
        <f ca="1">IF(AND(ISNUMBER($I$193),$B$145=1),$I$193,HLOOKUP(INDIRECT(ADDRESS(2,COLUMN())),OFFSET($BN$2,0,0,ROW()-1,60),ROW()-1,FALSE))</f>
        <v>49509</v>
      </c>
      <c r="J53">
        <f ca="1">IF(AND(ISNUMBER($J$193),$B$145=1),$J$193,HLOOKUP(INDIRECT(ADDRESS(2,COLUMN())),OFFSET($BN$2,0,0,ROW()-1,60),ROW()-1,FALSE))</f>
        <v>49698</v>
      </c>
      <c r="K53">
        <f ca="1">IF(AND(ISNUMBER($K$193),$B$145=1),$K$193,HLOOKUP(INDIRECT(ADDRESS(2,COLUMN())),OFFSET($BN$2,0,0,ROW()-1,60),ROW()-1,FALSE))</f>
        <v>47115</v>
      </c>
      <c r="L53">
        <f ca="1">IF(AND(ISNUMBER($L$193),$B$145=1),$L$193,HLOOKUP(INDIRECT(ADDRESS(2,COLUMN())),OFFSET($BN$2,0,0,ROW()-1,60),ROW()-1,FALSE))</f>
        <v>48493</v>
      </c>
      <c r="M53">
        <f ca="1">IF(AND(ISNUMBER($M$193),$B$145=1),$M$193,HLOOKUP(INDIRECT(ADDRESS(2,COLUMN())),OFFSET($BN$2,0,0,ROW()-1,60),ROW()-1,FALSE))</f>
        <v>49829</v>
      </c>
      <c r="N53">
        <f ca="1">IF(AND(ISNUMBER($N$193),$B$145=1),$N$193,HLOOKUP(INDIRECT(ADDRESS(2,COLUMN())),OFFSET($BN$2,0,0,ROW()-1,60),ROW()-1,FALSE))</f>
        <v>50632.499000000003</v>
      </c>
      <c r="O53">
        <f ca="1">IF(AND(ISNUMBER($O$193),$B$145=1),$O$193,HLOOKUP(INDIRECT(ADDRESS(2,COLUMN())),OFFSET($BN$2,0,0,ROW()-1,60),ROW()-1,FALSE))</f>
        <v>50418.504999999997</v>
      </c>
      <c r="P53">
        <f ca="1">IF(AND(ISNUMBER($P$193),$B$145=1),$P$193,HLOOKUP(INDIRECT(ADDRESS(2,COLUMN())),OFFSET($BN$2,0,0,ROW()-1,60),ROW()-1,FALSE))</f>
        <v>52035.087</v>
      </c>
      <c r="Q53">
        <f ca="1">IF(AND(ISNUMBER($Q$193),$B$145=1),$Q$193,HLOOKUP(INDIRECT(ADDRESS(2,COLUMN())),OFFSET($BN$2,0,0,ROW()-1,60),ROW()-1,FALSE))</f>
        <v>48317.856</v>
      </c>
      <c r="R53">
        <f ca="1">IF(AND(ISNUMBER($R$193),$B$145=1),$R$193,HLOOKUP(INDIRECT(ADDRESS(2,COLUMN())),OFFSET($BN$2,0,0,ROW()-1,60),ROW()-1,FALSE))</f>
        <v>37597.712</v>
      </c>
      <c r="S53">
        <f ca="1">IF(AND(ISNUMBER($S$193),$B$145=1),$S$193,HLOOKUP(INDIRECT(ADDRESS(2,COLUMN())),OFFSET($BN$2,0,0,ROW()-1,60),ROW()-1,FALSE))</f>
        <v>37358.82</v>
      </c>
      <c r="T53">
        <f ca="1">IF(AND(ISNUMBER($T$193),$B$145=1),$T$193,HLOOKUP(INDIRECT(ADDRESS(2,COLUMN())),OFFSET($BN$2,0,0,ROW()-1,60),ROW()-1,FALSE))</f>
        <v>37500.955999999998</v>
      </c>
      <c r="U53">
        <f ca="1">IF(AND(ISNUMBER($U$193),$B$145=1),$U$193,HLOOKUP(INDIRECT(ADDRESS(2,COLUMN())),OFFSET($BN$2,0,0,ROW()-1,60),ROW()-1,FALSE))</f>
        <v>37082.682000000001</v>
      </c>
      <c r="V53">
        <f ca="1">IF(AND(ISNUMBER($V$193),$B$145=1),$V$193,HLOOKUP(INDIRECT(ADDRESS(2,COLUMN())),OFFSET($BN$2,0,0,ROW()-1,60),ROW()-1,FALSE))</f>
        <v>36997.82</v>
      </c>
      <c r="W53">
        <f ca="1">IF(AND(ISNUMBER($W$193),$B$145=1),$W$193,HLOOKUP(INDIRECT(ADDRESS(2,COLUMN())),OFFSET($BN$2,0,0,ROW()-1,60),ROW()-1,FALSE))</f>
        <v>36907.711000000003</v>
      </c>
      <c r="X53">
        <f ca="1">IF(AND(ISNUMBER($X$193),$B$145=1),$X$193,HLOOKUP(INDIRECT(ADDRESS(2,COLUMN())),OFFSET($BN$2,0,0,ROW()-1,60),ROW()-1,FALSE))</f>
        <v>38065.65</v>
      </c>
      <c r="Y53">
        <f ca="1">IF(AND(ISNUMBER($Y$193),$B$145=1),$Y$193,HLOOKUP(INDIRECT(ADDRESS(2,COLUMN())),OFFSET($BN$2,0,0,ROW()-1,60),ROW()-1,FALSE))</f>
        <v>38044.606</v>
      </c>
      <c r="Z53">
        <f ca="1">IF(AND(ISNUMBER($Z$193),$B$145=1),$Z$193,HLOOKUP(INDIRECT(ADDRESS(2,COLUMN())),OFFSET($BN$2,0,0,ROW()-1,60),ROW()-1,FALSE))</f>
        <v>35488.091999999997</v>
      </c>
      <c r="AA53">
        <f ca="1">IF(AND(ISNUMBER($AA$193),$B$145=1),$AA$193,HLOOKUP(INDIRECT(ADDRESS(2,COLUMN())),OFFSET($BN$2,0,0,ROW()-1,60),ROW()-1,FALSE))</f>
        <v>36619.249000000003</v>
      </c>
      <c r="AB53">
        <f ca="1">IF(AND(ISNUMBER($AB$193),$B$145=1),$AB$193,HLOOKUP(INDIRECT(ADDRESS(2,COLUMN())),OFFSET($BN$2,0,0,ROW()-1,60),ROW()-1,FALSE))</f>
        <v>35222.641000000003</v>
      </c>
      <c r="AC53">
        <f ca="1">IF(AND(ISNUMBER($AC$193),$B$145=1),$AC$193,HLOOKUP(INDIRECT(ADDRESS(2,COLUMN())),OFFSET($BN$2,0,0,ROW()-1,60),ROW()-1,FALSE))</f>
        <v>34482.877999999997</v>
      </c>
      <c r="AD53">
        <f ca="1">IF(AND(ISNUMBER($AD$193),$B$145=1),$AD$193,HLOOKUP(INDIRECT(ADDRESS(2,COLUMN())),OFFSET($BN$2,0,0,ROW()-1,60),ROW()-1,FALSE))</f>
        <v>32294.058000000001</v>
      </c>
      <c r="AE53">
        <f ca="1">IF(AND(ISNUMBER($AE$193),$B$145=1),$AE$193,HLOOKUP(INDIRECT(ADDRESS(2,COLUMN())),OFFSET($BN$2,0,0,ROW()-1,60),ROW()-1,FALSE))</f>
        <v>31273.663</v>
      </c>
      <c r="AF53">
        <f ca="1">IF(AND(ISNUMBER($AF$193),$B$145=1),$AF$193,HLOOKUP(INDIRECT(ADDRESS(2,COLUMN())),OFFSET($BN$2,0,0,ROW()-1,60),ROW()-1,FALSE))</f>
        <v>31364.669000000002</v>
      </c>
      <c r="AG53">
        <f ca="1">IF(AND(ISNUMBER($AG$193),$B$145=1),$AG$193,HLOOKUP(INDIRECT(ADDRESS(2,COLUMN())),OFFSET($BN$2,0,0,ROW()-1,60),ROW()-1,FALSE))</f>
        <v>31227.669000000002</v>
      </c>
      <c r="AH53">
        <f ca="1">IF(AND(ISNUMBER($AH$193),$B$145=1),$AH$193,HLOOKUP(INDIRECT(ADDRESS(2,COLUMN())),OFFSET($BN$2,0,0,ROW()-1,60),ROW()-1,FALSE))</f>
        <v>31230.933000000001</v>
      </c>
      <c r="AI53">
        <f ca="1">IF(AND(ISNUMBER($AI$193),$B$145=1),$AI$193,HLOOKUP(INDIRECT(ADDRESS(2,COLUMN())),OFFSET($BN$2,0,0,ROW()-1,60),ROW()-1,FALSE))</f>
        <v>30892.642</v>
      </c>
      <c r="AJ53">
        <f ca="1">IF(AND(ISNUMBER($AJ$193),$B$145=1),$AJ$193,HLOOKUP(INDIRECT(ADDRESS(2,COLUMN())),OFFSET($BN$2,0,0,ROW()-1,60),ROW()-1,FALSE))</f>
        <v>31236.618999999999</v>
      </c>
      <c r="AK53">
        <f ca="1">IF(AND(ISNUMBER($AK$193),$B$145=1),$AK$193,HLOOKUP(INDIRECT(ADDRESS(2,COLUMN())),OFFSET($BN$2,0,0,ROW()-1,60),ROW()-1,FALSE))</f>
        <v>30946.295999999998</v>
      </c>
      <c r="AL53">
        <f ca="1">IF(AND(ISNUMBER($AL$193),$B$145=1),$AL$193,HLOOKUP(INDIRECT(ADDRESS(2,COLUMN())),OFFSET($BN$2,0,0,ROW()-1,60),ROW()-1,FALSE))</f>
        <v>30600.281999999999</v>
      </c>
      <c r="AM53">
        <f ca="1">IF(AND(ISNUMBER($AM$193),$B$145=1),$AM$193,HLOOKUP(INDIRECT(ADDRESS(2,COLUMN())),OFFSET($BN$2,0,0,ROW()-1,60),ROW()-1,FALSE))</f>
        <v>30137.223000000002</v>
      </c>
      <c r="AN53">
        <f ca="1">IF(AND(ISNUMBER($AN$193),$B$145=1),$AN$193,HLOOKUP(INDIRECT(ADDRESS(2,COLUMN())),OFFSET($BN$2,0,0,ROW()-1,60),ROW()-1,FALSE))</f>
        <v>30908.973999999998</v>
      </c>
      <c r="AO53">
        <f ca="1">IF(AND(ISNUMBER($AO$193),$B$145=1),$AO$193,HLOOKUP(INDIRECT(ADDRESS(2,COLUMN())),OFFSET($BN$2,0,0,ROW()-1,60),ROW()-1,FALSE))</f>
        <v>29347.842000000001</v>
      </c>
      <c r="AP53">
        <f ca="1">IF(AND(ISNUMBER($AP$193),$B$145=1),$AP$193,HLOOKUP(INDIRECT(ADDRESS(2,COLUMN())),OFFSET($BN$2,0,0,ROW()-1,60),ROW()-1,FALSE))</f>
        <v>28507.763999999999</v>
      </c>
      <c r="AQ53">
        <f ca="1">IF(AND(ISNUMBER($AQ$193),$B$145=1),$AQ$193,HLOOKUP(INDIRECT(ADDRESS(2,COLUMN())),OFFSET($BN$2,0,0,ROW()-1,60),ROW()-1,FALSE))</f>
        <v>28350.624</v>
      </c>
      <c r="AR53">
        <f ca="1">IF(AND(ISNUMBER($AR$193),$B$145=1),$AR$193,HLOOKUP(INDIRECT(ADDRESS(2,COLUMN())),OFFSET($BN$2,0,0,ROW()-1,60),ROW()-1,FALSE))</f>
        <v>27541.434000000001</v>
      </c>
      <c r="AS53">
        <f ca="1">IF(AND(ISNUMBER($AS$193),$B$145=1),$AS$193,HLOOKUP(INDIRECT(ADDRESS(2,COLUMN())),OFFSET($BN$2,0,0,ROW()-1,60),ROW()-1,FALSE))</f>
        <v>25984.008999999998</v>
      </c>
      <c r="AT53">
        <f ca="1">IF(AND(ISNUMBER($AT$193),$B$145=1),$AT$193,HLOOKUP(INDIRECT(ADDRESS(2,COLUMN())),OFFSET($BN$2,0,0,ROW()-1,60),ROW()-1,FALSE))</f>
        <v>21992.848999999998</v>
      </c>
      <c r="AU53">
        <f ca="1">IF(AND(ISNUMBER($AU$193),$B$145=1),$AU$193,HLOOKUP(INDIRECT(ADDRESS(2,COLUMN())),OFFSET($BN$2,0,0,ROW()-1,60),ROW()-1,FALSE))</f>
        <v>22501.297999999999</v>
      </c>
      <c r="AV53">
        <f ca="1">IF(AND(ISNUMBER($AV$193),$B$145=1),$AV$193,HLOOKUP(INDIRECT(ADDRESS(2,COLUMN())),OFFSET($BN$2,0,0,ROW()-1,60),ROW()-1,FALSE))</f>
        <v>22408.186000000002</v>
      </c>
      <c r="AW53">
        <f ca="1">IF(AND(ISNUMBER($AW$193),$B$145=1),$AW$193,HLOOKUP(INDIRECT(ADDRESS(2,COLUMN())),OFFSET($BN$2,0,0,ROW()-1,60),ROW()-1,FALSE))</f>
        <v>20344.429</v>
      </c>
      <c r="AX53">
        <f ca="1">IF(AND(ISNUMBER($AX$193),$B$145=1),$AX$193,HLOOKUP(INDIRECT(ADDRESS(2,COLUMN())),OFFSET($BN$2,0,0,ROW()-1,60),ROW()-1,FALSE))</f>
        <v>18052.371999999999</v>
      </c>
      <c r="AY53">
        <f ca="1">IF(AND(ISNUMBER($AY$193),$B$145=1),$AY$193,HLOOKUP(INDIRECT(ADDRESS(2,COLUMN())),OFFSET($BN$2,0,0,ROW()-1,60),ROW()-1,FALSE))</f>
        <v>17497.062999999998</v>
      </c>
      <c r="AZ53">
        <f ca="1">IF(AND(ISNUMBER($AZ$193),$B$145=1),$AZ$193,HLOOKUP(INDIRECT(ADDRESS(2,COLUMN())),OFFSET($BN$2,0,0,ROW()-1,60),ROW()-1,FALSE))</f>
        <v>15614.671</v>
      </c>
      <c r="BA53">
        <f ca="1">IF(AND(ISNUMBER($BA$193),$B$145=1),$BA$193,HLOOKUP(INDIRECT(ADDRESS(2,COLUMN())),OFFSET($BN$2,0,0,ROW()-1,60),ROW()-1,FALSE))</f>
        <v>14699.687</v>
      </c>
      <c r="BB53">
        <f ca="1">IF(AND(ISNUMBER($BB$193),$B$145=1),$BB$193,HLOOKUP(INDIRECT(ADDRESS(2,COLUMN())),OFFSET($BN$2,0,0,ROW()-1,60),ROW()-1,FALSE))</f>
        <v>14644.815000000001</v>
      </c>
      <c r="BC53">
        <f ca="1">IF(AND(ISNUMBER($BC$193),$B$145=1),$BC$193,HLOOKUP(INDIRECT(ADDRESS(2,COLUMN())),OFFSET($BN$2,0,0,ROW()-1,60),ROW()-1,FALSE))</f>
        <v>14843.415999999999</v>
      </c>
      <c r="BD53">
        <f ca="1">IF(AND(ISNUMBER($BD$193),$B$145=1),$BD$193,HLOOKUP(INDIRECT(ADDRESS(2,COLUMN())),OFFSET($BN$2,0,0,ROW()-1,60),ROW()-1,FALSE))</f>
        <v>15011.558000000001</v>
      </c>
      <c r="BE53">
        <f ca="1">IF(AND(ISNUMBER($BE$193),$B$145=1),$BE$193,HLOOKUP(INDIRECT(ADDRESS(2,COLUMN())),OFFSET($BN$2,0,0,ROW()-1,60),ROW()-1,FALSE))</f>
        <v>15569.308999999999</v>
      </c>
      <c r="BF53">
        <f ca="1">IF(AND(ISNUMBER($BF$193),$B$145=1),$BF$193,HLOOKUP(INDIRECT(ADDRESS(2,COLUMN())),OFFSET($BN$2,0,0,ROW()-1,60),ROW()-1,FALSE))</f>
        <v>14839.445</v>
      </c>
      <c r="BG53">
        <f ca="1">IF(AND(ISNUMBER($BG$193),$B$145=1),$BG$193,HLOOKUP(INDIRECT(ADDRESS(2,COLUMN())),OFFSET($BN$2,0,0,ROW()-1,60),ROW()-1,FALSE))</f>
        <v>15719.694</v>
      </c>
      <c r="BH53">
        <f ca="1">IF(AND(ISNUMBER($BH$193),$B$145=1),$BH$193,HLOOKUP(INDIRECT(ADDRESS(2,COLUMN())),OFFSET($BN$2,0,0,ROW()-1,60),ROW()-1,FALSE))</f>
        <v>15000.481</v>
      </c>
      <c r="BI53">
        <f ca="1">IF(AND(ISNUMBER($BI$193),$B$145=1),$BI$193,HLOOKUP(INDIRECT(ADDRESS(2,COLUMN())),OFFSET($BN$2,0,0,ROW()-1,60),ROW()-1,FALSE))</f>
        <v>14607.641</v>
      </c>
      <c r="BJ53">
        <f ca="1">IF(AND(ISNUMBER($BJ$193),$B$145=1),$BJ$193,HLOOKUP(INDIRECT(ADDRESS(2,COLUMN())),OFFSET($BN$2,0,0,ROW()-1,60),ROW()-1,FALSE))</f>
        <v>14893.754999999999</v>
      </c>
      <c r="BK53">
        <f ca="1">IF(AND(ISNUMBER($BK$193),$B$145=1),$BK$193,HLOOKUP(INDIRECT(ADDRESS(2,COLUMN())),OFFSET($BN$2,0,0,ROW()-1,60),ROW()-1,FALSE))</f>
        <v>15430.044</v>
      </c>
      <c r="BL53">
        <f ca="1">IF(AND(ISNUMBER($BL$193),$B$145=1),$BL$193,HLOOKUP(INDIRECT(ADDRESS(2,COLUMN())),OFFSET($BN$2,0,0,ROW()-1,60),ROW()-1,FALSE))</f>
        <v>15475.800999999999</v>
      </c>
      <c r="BM53" t="str">
        <f ca="1">IF(AND(ISNUMBER($BM$193),$B$145=1),$BM$193,HLOOKUP(INDIRECT(ADDRESS(2,COLUMN())),OFFSET($BN$2,0,0,ROW()-1,60),ROW()-1,FALSE))</f>
        <v/>
      </c>
      <c r="BN53">
        <f>50045</f>
        <v>50045</v>
      </c>
      <c r="BO53">
        <f>50975</f>
        <v>50975</v>
      </c>
      <c r="BP53">
        <f>49634</f>
        <v>49634</v>
      </c>
      <c r="BQ53">
        <f>49509</f>
        <v>49509</v>
      </c>
      <c r="BR53">
        <f>49698</f>
        <v>49698</v>
      </c>
      <c r="BS53">
        <f>47115</f>
        <v>47115</v>
      </c>
      <c r="BT53">
        <f>48493</f>
        <v>48493</v>
      </c>
      <c r="BU53">
        <f>49829</f>
        <v>49829</v>
      </c>
      <c r="BV53">
        <f>50632.499</f>
        <v>50632.499000000003</v>
      </c>
      <c r="BW53">
        <f>50418.505</f>
        <v>50418.504999999997</v>
      </c>
      <c r="BX53">
        <f>52035.087</f>
        <v>52035.087</v>
      </c>
      <c r="BY53">
        <f>48317.856</f>
        <v>48317.856</v>
      </c>
      <c r="BZ53">
        <f>37597.712</f>
        <v>37597.712</v>
      </c>
      <c r="CA53">
        <f>37358.82</f>
        <v>37358.82</v>
      </c>
      <c r="CB53">
        <f>37500.956</f>
        <v>37500.955999999998</v>
      </c>
      <c r="CC53">
        <f>37082.682</f>
        <v>37082.682000000001</v>
      </c>
      <c r="CD53">
        <f>36997.82</f>
        <v>36997.82</v>
      </c>
      <c r="CE53">
        <f>36907.711</f>
        <v>36907.711000000003</v>
      </c>
      <c r="CF53">
        <f>38065.65</f>
        <v>38065.65</v>
      </c>
      <c r="CG53">
        <f>38044.606</f>
        <v>38044.606</v>
      </c>
      <c r="CH53">
        <f>35488.092</f>
        <v>35488.091999999997</v>
      </c>
      <c r="CI53">
        <f>36619.249</f>
        <v>36619.249000000003</v>
      </c>
      <c r="CJ53">
        <f>35222.641</f>
        <v>35222.641000000003</v>
      </c>
      <c r="CK53">
        <f>34482.878</f>
        <v>34482.877999999997</v>
      </c>
      <c r="CL53">
        <f>32294.058</f>
        <v>32294.058000000001</v>
      </c>
      <c r="CM53">
        <f>31273.663</f>
        <v>31273.663</v>
      </c>
      <c r="CN53">
        <f>31364.669</f>
        <v>31364.669000000002</v>
      </c>
      <c r="CO53">
        <f>31227.669</f>
        <v>31227.669000000002</v>
      </c>
      <c r="CP53">
        <f>31230.933</f>
        <v>31230.933000000001</v>
      </c>
      <c r="CQ53">
        <f>30892.642</f>
        <v>30892.642</v>
      </c>
      <c r="CR53">
        <f>31236.619</f>
        <v>31236.618999999999</v>
      </c>
      <c r="CS53">
        <f>30946.296</f>
        <v>30946.295999999998</v>
      </c>
      <c r="CT53">
        <f>30600.282</f>
        <v>30600.281999999999</v>
      </c>
      <c r="CU53">
        <f>30137.223</f>
        <v>30137.223000000002</v>
      </c>
      <c r="CV53">
        <f>30908.974</f>
        <v>30908.973999999998</v>
      </c>
      <c r="CW53">
        <f>29347.842</f>
        <v>29347.842000000001</v>
      </c>
      <c r="CX53">
        <f>28507.764</f>
        <v>28507.763999999999</v>
      </c>
      <c r="CY53">
        <f>28350.624</f>
        <v>28350.624</v>
      </c>
      <c r="CZ53">
        <f>27541.434</f>
        <v>27541.434000000001</v>
      </c>
      <c r="DA53">
        <f>25984.009</f>
        <v>25984.008999999998</v>
      </c>
      <c r="DB53">
        <f>21992.849</f>
        <v>21992.848999999998</v>
      </c>
      <c r="DC53">
        <f>22501.298</f>
        <v>22501.297999999999</v>
      </c>
      <c r="DD53">
        <f>22408.186</f>
        <v>22408.186000000002</v>
      </c>
      <c r="DE53">
        <f>20344.429</f>
        <v>20344.429</v>
      </c>
      <c r="DF53">
        <f>18052.372</f>
        <v>18052.371999999999</v>
      </c>
      <c r="DG53">
        <f>17497.063</f>
        <v>17497.062999999998</v>
      </c>
      <c r="DH53">
        <f>15614.671</f>
        <v>15614.671</v>
      </c>
      <c r="DI53">
        <f>14699.687</f>
        <v>14699.687</v>
      </c>
      <c r="DJ53">
        <f>14644.815</f>
        <v>14644.815000000001</v>
      </c>
      <c r="DK53">
        <f>14843.416</f>
        <v>14843.415999999999</v>
      </c>
      <c r="DL53">
        <f>15011.558</f>
        <v>15011.558000000001</v>
      </c>
      <c r="DM53">
        <f>15569.309</f>
        <v>15569.308999999999</v>
      </c>
      <c r="DN53">
        <f>14839.445</f>
        <v>14839.445</v>
      </c>
      <c r="DO53">
        <f>15719.694</f>
        <v>15719.694</v>
      </c>
      <c r="DP53">
        <f>15000.481</f>
        <v>15000.481</v>
      </c>
      <c r="DQ53">
        <f>14607.641</f>
        <v>14607.641</v>
      </c>
      <c r="DR53">
        <f>14893.755</f>
        <v>14893.754999999999</v>
      </c>
      <c r="DS53">
        <f>15430.044</f>
        <v>15430.044</v>
      </c>
      <c r="DT53">
        <f>15475.801</f>
        <v>15475.800999999999</v>
      </c>
      <c r="DU53" t="str">
        <f>""</f>
        <v/>
      </c>
    </row>
    <row r="54" spans="1:125" x14ac:dyDescent="0.25">
      <c r="A54" t="str">
        <f>"                First Citizens BancShares Inc/"</f>
        <v xml:space="preserve">                First Citizens BancShares Inc/</v>
      </c>
      <c r="B54" t="str">
        <f>"FCNCA US Equity"</f>
        <v>FCNCA US Equity</v>
      </c>
      <c r="C54" t="str">
        <f t="shared" si="6"/>
        <v>FC023</v>
      </c>
      <c r="D54" t="str">
        <f t="shared" si="7"/>
        <v>FDIC_TOTAL_SECURITIES</v>
      </c>
      <c r="E54" t="str">
        <f t="shared" si="8"/>
        <v>Dynamic</v>
      </c>
      <c r="F54">
        <f ca="1">IF(AND(ISNUMBER($F$194),$B$145=1),$F$194,HLOOKUP(INDIRECT(ADDRESS(2,COLUMN())),OFFSET($BN$2,0,0,ROW()-1,60),ROW()-1,FALSE))</f>
        <v>43988</v>
      </c>
      <c r="G54">
        <f ca="1">IF(AND(ISNUMBER($G$194),$B$145=1),$G$194,HLOOKUP(INDIRECT(ADDRESS(2,COLUMN())),OFFSET($BN$2,0,0,ROW()-1,60),ROW()-1,FALSE))</f>
        <v>38580</v>
      </c>
      <c r="H54">
        <f ca="1">IF(AND(ISNUMBER($H$194),$B$145=1),$H$194,HLOOKUP(INDIRECT(ADDRESS(2,COLUMN())),OFFSET($BN$2,0,0,ROW()-1,60),ROW()-1,FALSE))</f>
        <v>37587</v>
      </c>
      <c r="I54">
        <f ca="1">IF(AND(ISNUMBER($I$194),$B$145=1),$I$194,HLOOKUP(INDIRECT(ADDRESS(2,COLUMN())),OFFSET($BN$2,0,0,ROW()-1,60),ROW()-1,FALSE))</f>
        <v>34963</v>
      </c>
      <c r="J54">
        <f ca="1">IF(AND(ISNUMBER($J$194),$B$145=1),$J$194,HLOOKUP(INDIRECT(ADDRESS(2,COLUMN())),OFFSET($BN$2,0,0,ROW()-1,60),ROW()-1,FALSE))</f>
        <v>29912.649000000001</v>
      </c>
      <c r="K54">
        <f ca="1">IF(AND(ISNUMBER($K$194),$B$145=1),$K$194,HLOOKUP(INDIRECT(ADDRESS(2,COLUMN())),OFFSET($BN$2,0,0,ROW()-1,60),ROW()-1,FALSE))</f>
        <v>26740.791000000001</v>
      </c>
      <c r="L54">
        <f ca="1">IF(AND(ISNUMBER($L$194),$B$145=1),$L$194,HLOOKUP(INDIRECT(ADDRESS(2,COLUMN())),OFFSET($BN$2,0,0,ROW()-1,60),ROW()-1,FALSE))</f>
        <v>22093.014999999999</v>
      </c>
      <c r="M54">
        <f ca="1">IF(AND(ISNUMBER($M$194),$B$145=1),$M$194,HLOOKUP(INDIRECT(ADDRESS(2,COLUMN())),OFFSET($BN$2,0,0,ROW()-1,60),ROW()-1,FALSE))</f>
        <v>19440.564999999999</v>
      </c>
      <c r="N54">
        <f ca="1">IF(AND(ISNUMBER($N$194),$B$145=1),$N$194,HLOOKUP(INDIRECT(ADDRESS(2,COLUMN())),OFFSET($BN$2,0,0,ROW()-1,60),ROW()-1,FALSE))</f>
        <v>19271.953000000001</v>
      </c>
      <c r="O54">
        <f ca="1">IF(AND(ISNUMBER($O$194),$B$145=1),$O$194,HLOOKUP(INDIRECT(ADDRESS(2,COLUMN())),OFFSET($BN$2,0,0,ROW()-1,60),ROW()-1,FALSE))</f>
        <v>18745.916000000001</v>
      </c>
      <c r="P54">
        <f ca="1">IF(AND(ISNUMBER($P$194),$B$145=1),$P$194,HLOOKUP(INDIRECT(ADDRESS(2,COLUMN())),OFFSET($BN$2,0,0,ROW()-1,60),ROW()-1,FALSE))</f>
        <v>19038.82</v>
      </c>
      <c r="Q54">
        <f ca="1">IF(AND(ISNUMBER($Q$194),$B$145=1),$Q$194,HLOOKUP(INDIRECT(ADDRESS(2,COLUMN())),OFFSET($BN$2,0,0,ROW()-1,60),ROW()-1,FALSE))</f>
        <v>19364.887999999999</v>
      </c>
      <c r="R54">
        <f ca="1">IF(AND(ISNUMBER($R$194),$B$145=1),$R$194,HLOOKUP(INDIRECT(ADDRESS(2,COLUMN())),OFFSET($BN$2,0,0,ROW()-1,60),ROW()-1,FALSE))</f>
        <v>13010.871999999999</v>
      </c>
      <c r="S54">
        <f ca="1">IF(AND(ISNUMBER($S$194),$B$145=1),$S$194,HLOOKUP(INDIRECT(ADDRESS(2,COLUMN())),OFFSET($BN$2,0,0,ROW()-1,60),ROW()-1,FALSE))</f>
        <v>10750.198</v>
      </c>
      <c r="T54">
        <f ca="1">IF(AND(ISNUMBER($T$194),$B$145=1),$T$194,HLOOKUP(INDIRECT(ADDRESS(2,COLUMN())),OFFSET($BN$2,0,0,ROW()-1,60),ROW()-1,FALSE))</f>
        <v>10773.68</v>
      </c>
      <c r="U54">
        <f ca="1">IF(AND(ISNUMBER($U$194),$B$145=1),$U$194,HLOOKUP(INDIRECT(ADDRESS(2,COLUMN())),OFFSET($BN$2,0,0,ROW()-1,60),ROW()-1,FALSE))</f>
        <v>10113.214</v>
      </c>
      <c r="V54">
        <f ca="1">IF(AND(ISNUMBER($V$194),$B$145=1),$V$194,HLOOKUP(INDIRECT(ADDRESS(2,COLUMN())),OFFSET($BN$2,0,0,ROW()-1,60),ROW()-1,FALSE))</f>
        <v>9828.9689999999991</v>
      </c>
      <c r="W54">
        <f ca="1">IF(AND(ISNUMBER($W$194),$B$145=1),$W$194,HLOOKUP(INDIRECT(ADDRESS(2,COLUMN())),OFFSET($BN$2,0,0,ROW()-1,60),ROW()-1,FALSE))</f>
        <v>9765.2639999999992</v>
      </c>
      <c r="X54">
        <f ca="1">IF(AND(ISNUMBER($X$194),$B$145=1),$X$194,HLOOKUP(INDIRECT(ADDRESS(2,COLUMN())),OFFSET($BN$2,0,0,ROW()-1,60),ROW()-1,FALSE))</f>
        <v>9391.1540000000005</v>
      </c>
      <c r="Y54">
        <f ca="1">IF(AND(ISNUMBER($Y$194),$B$145=1),$Y$194,HLOOKUP(INDIRECT(ADDRESS(2,COLUMN())),OFFSET($BN$2,0,0,ROW()-1,60),ROW()-1,FALSE))</f>
        <v>8509.4750000000004</v>
      </c>
      <c r="Z54">
        <f ca="1">IF(AND(ISNUMBER($Z$194),$B$145=1),$Z$194,HLOOKUP(INDIRECT(ADDRESS(2,COLUMN())),OFFSET($BN$2,0,0,ROW()-1,60),ROW()-1,FALSE))</f>
        <v>7059.674</v>
      </c>
      <c r="AA54">
        <f ca="1">IF(AND(ISNUMBER($AA$194),$B$145=1),$AA$194,HLOOKUP(INDIRECT(ADDRESS(2,COLUMN())),OFFSET($BN$2,0,0,ROW()-1,60),ROW()-1,FALSE))</f>
        <v>7020.0240000000003</v>
      </c>
      <c r="AB54">
        <f ca="1">IF(AND(ISNUMBER($AB$194),$B$145=1),$AB$194,HLOOKUP(INDIRECT(ADDRESS(2,COLUMN())),OFFSET($BN$2,0,0,ROW()-1,60),ROW()-1,FALSE))</f>
        <v>6548.5410000000002</v>
      </c>
      <c r="AC54">
        <f ca="1">IF(AND(ISNUMBER($AC$194),$B$145=1),$AC$194,HLOOKUP(INDIRECT(ADDRESS(2,COLUMN())),OFFSET($BN$2,0,0,ROW()-1,60),ROW()-1,FALSE))</f>
        <v>6804.6289999999999</v>
      </c>
      <c r="AD54">
        <f ca="1">IF(AND(ISNUMBER($AD$194),$B$145=1),$AD$194,HLOOKUP(INDIRECT(ADDRESS(2,COLUMN())),OFFSET($BN$2,0,0,ROW()-1,60),ROW()-1,FALSE))</f>
        <v>6741.7629999999999</v>
      </c>
      <c r="AE54">
        <f ca="1">IF(AND(ISNUMBER($AE$194),$B$145=1),$AE$194,HLOOKUP(INDIRECT(ADDRESS(2,COLUMN())),OFFSET($BN$2,0,0,ROW()-1,60),ROW()-1,FALSE))</f>
        <v>6930.7669999999998</v>
      </c>
      <c r="AF54">
        <f ca="1">IF(AND(ISNUMBER($AF$194),$B$145=1),$AF$194,HLOOKUP(INDIRECT(ADDRESS(2,COLUMN())),OFFSET($BN$2,0,0,ROW()-1,60),ROW()-1,FALSE))</f>
        <v>7083.2809999999999</v>
      </c>
      <c r="AG54">
        <f ca="1">IF(AND(ISNUMBER($AG$194),$B$145=1),$AG$194,HLOOKUP(INDIRECT(ADDRESS(2,COLUMN())),OFFSET($BN$2,0,0,ROW()-1,60),ROW()-1,FALSE))</f>
        <v>6857.8140000000003</v>
      </c>
      <c r="AH54">
        <f ca="1">IF(AND(ISNUMBER($AH$194),$B$145=1),$AH$194,HLOOKUP(INDIRECT(ADDRESS(2,COLUMN())),OFFSET($BN$2,0,0,ROW()-1,60),ROW()-1,FALSE))</f>
        <v>7180.2560000000003</v>
      </c>
      <c r="AI54">
        <f ca="1">IF(AND(ISNUMBER($AI$194),$B$145=1),$AI$194,HLOOKUP(INDIRECT(ADDRESS(2,COLUMN())),OFFSET($BN$2,0,0,ROW()-1,60),ROW()-1,FALSE))</f>
        <v>6992.9549999999999</v>
      </c>
      <c r="AJ54">
        <f ca="1">IF(AND(ISNUMBER($AJ$194),$B$145=1),$AJ$194,HLOOKUP(INDIRECT(ADDRESS(2,COLUMN())),OFFSET($BN$2,0,0,ROW()-1,60),ROW()-1,FALSE))</f>
        <v>6596.53</v>
      </c>
      <c r="AK54">
        <f ca="1">IF(AND(ISNUMBER($AK$194),$B$145=1),$AK$194,HLOOKUP(INDIRECT(ADDRESS(2,COLUMN())),OFFSET($BN$2,0,0,ROW()-1,60),ROW()-1,FALSE))</f>
        <v>7119.9440000000004</v>
      </c>
      <c r="AL54">
        <f ca="1">IF(AND(ISNUMBER($AL$194),$B$145=1),$AL$194,HLOOKUP(INDIRECT(ADDRESS(2,COLUMN())),OFFSET($BN$2,0,0,ROW()-1,60),ROW()-1,FALSE))</f>
        <v>7006.6779999999999</v>
      </c>
      <c r="AM54">
        <f ca="1">IF(AND(ISNUMBER($AM$194),$B$145=1),$AM$194,HLOOKUP(INDIRECT(ADDRESS(2,COLUMN())),OFFSET($BN$2,0,0,ROW()-1,60),ROW()-1,FALSE))</f>
        <v>6459.94</v>
      </c>
      <c r="AN54">
        <f ca="1">IF(AND(ISNUMBER($AN$194),$B$145=1),$AN$194,HLOOKUP(INDIRECT(ADDRESS(2,COLUMN())),OFFSET($BN$2,0,0,ROW()-1,60),ROW()-1,FALSE))</f>
        <v>6632.7359999999999</v>
      </c>
      <c r="AO54">
        <f ca="1">IF(AND(ISNUMBER($AO$194),$B$145=1),$AO$194,HLOOKUP(INDIRECT(ADDRESS(2,COLUMN())),OFFSET($BN$2,0,0,ROW()-1,60),ROW()-1,FALSE))</f>
        <v>6762.4830000000002</v>
      </c>
      <c r="AP54">
        <f ca="1">IF(AND(ISNUMBER($AP$194),$B$145=1),$AP$194,HLOOKUP(INDIRECT(ADDRESS(2,COLUMN())),OFFSET($BN$2,0,0,ROW()-1,60),ROW()-1,FALSE))</f>
        <v>6936.5479999999998</v>
      </c>
      <c r="AQ54">
        <f ca="1">IF(AND(ISNUMBER($AQ$194),$B$145=1),$AQ$194,HLOOKUP(INDIRECT(ADDRESS(2,COLUMN())),OFFSET($BN$2,0,0,ROW()-1,60),ROW()-1,FALSE))</f>
        <v>6765.8789999999999</v>
      </c>
      <c r="AR54">
        <f ca="1">IF(AND(ISNUMBER($AR$194),$B$145=1),$AR$194,HLOOKUP(INDIRECT(ADDRESS(2,COLUMN())),OFFSET($BN$2,0,0,ROW()-1,60),ROW()-1,FALSE))</f>
        <v>7425.5450000000001</v>
      </c>
      <c r="AS54">
        <f ca="1">IF(AND(ISNUMBER($AS$194),$B$145=1),$AS$194,HLOOKUP(INDIRECT(ADDRESS(2,COLUMN())),OFFSET($BN$2,0,0,ROW()-1,60),ROW()-1,FALSE))</f>
        <v>7120.55</v>
      </c>
      <c r="AT54">
        <f ca="1">IF(AND(ISNUMBER($AT$194),$B$145=1),$AT$194,HLOOKUP(INDIRECT(ADDRESS(2,COLUMN())),OFFSET($BN$2,0,0,ROW()-1,60),ROW()-1,FALSE))</f>
        <v>7247.4350000000004</v>
      </c>
      <c r="AU54">
        <f ca="1">IF(AND(ISNUMBER($AU$194),$B$145=1),$AU$194,HLOOKUP(INDIRECT(ADDRESS(2,COLUMN())),OFFSET($BN$2,0,0,ROW()-1,60),ROW()-1,FALSE))</f>
        <v>5698.701</v>
      </c>
      <c r="AV54">
        <f ca="1">IF(AND(ISNUMBER($AV$194),$B$145=1),$AV$194,HLOOKUP(INDIRECT(ADDRESS(2,COLUMN())),OFFSET($BN$2,0,0,ROW()-1,60),ROW()-1,FALSE))</f>
        <v>5538.8590000000004</v>
      </c>
      <c r="AW54">
        <f ca="1">IF(AND(ISNUMBER($AW$194),$B$145=1),$AW$194,HLOOKUP(INDIRECT(ADDRESS(2,COLUMN())),OFFSET($BN$2,0,0,ROW()-1,60),ROW()-1,FALSE))</f>
        <v>5677.0190000000002</v>
      </c>
      <c r="AX54">
        <f ca="1">IF(AND(ISNUMBER($AX$194),$B$145=1),$AX$194,HLOOKUP(INDIRECT(ADDRESS(2,COLUMN())),OFFSET($BN$2,0,0,ROW()-1,60),ROW()-1,FALSE))</f>
        <v>5388.61</v>
      </c>
      <c r="AY54">
        <f ca="1">IF(AND(ISNUMBER($AY$194),$B$145=1),$AY$194,HLOOKUP(INDIRECT(ADDRESS(2,COLUMN())),OFFSET($BN$2,0,0,ROW()-1,60),ROW()-1,FALSE))</f>
        <v>5162.598</v>
      </c>
      <c r="AZ54">
        <f ca="1">IF(AND(ISNUMBER($AZ$194),$B$145=1),$AZ$194,HLOOKUP(INDIRECT(ADDRESS(2,COLUMN())),OFFSET($BN$2,0,0,ROW()-1,60),ROW()-1,FALSE))</f>
        <v>5186.1059999999998</v>
      </c>
      <c r="BA54">
        <f ca="1">IF(AND(ISNUMBER($BA$194),$B$145=1),$BA$194,HLOOKUP(INDIRECT(ADDRESS(2,COLUMN())),OFFSET($BN$2,0,0,ROW()-1,60),ROW()-1,FALSE))</f>
        <v>5280.9070000000002</v>
      </c>
      <c r="BB54">
        <f ca="1">IF(AND(ISNUMBER($BB$194),$B$145=1),$BB$194,HLOOKUP(INDIRECT(ADDRESS(2,COLUMN())),OFFSET($BN$2,0,0,ROW()-1,60),ROW()-1,FALSE))</f>
        <v>5227.57</v>
      </c>
      <c r="BC54">
        <f ca="1">IF(AND(ISNUMBER($BC$194),$B$145=1),$BC$194,HLOOKUP(INDIRECT(ADDRESS(2,COLUMN())),OFFSET($BN$2,0,0,ROW()-1,60),ROW()-1,FALSE))</f>
        <v>5014.3069999999998</v>
      </c>
      <c r="BD54">
        <f ca="1">IF(AND(ISNUMBER($BD$194),$B$145=1),$BD$194,HLOOKUP(INDIRECT(ADDRESS(2,COLUMN())),OFFSET($BN$2,0,0,ROW()-1,60),ROW()-1,FALSE))</f>
        <v>4635.826</v>
      </c>
      <c r="BE54">
        <f ca="1">IF(AND(ISNUMBER($BE$194),$B$145=1),$BE$194,HLOOKUP(INDIRECT(ADDRESS(2,COLUMN())),OFFSET($BN$2,0,0,ROW()-1,60),ROW()-1,FALSE))</f>
        <v>4459.4269999999997</v>
      </c>
      <c r="BF54">
        <f ca="1">IF(AND(ISNUMBER($BF$194),$B$145=1),$BF$194,HLOOKUP(INDIRECT(ADDRESS(2,COLUMN())),OFFSET($BN$2,0,0,ROW()-1,60),ROW()-1,FALSE))</f>
        <v>4058.2449999999999</v>
      </c>
      <c r="BG54">
        <f ca="1">IF(AND(ISNUMBER($BG$194),$B$145=1),$BG$194,HLOOKUP(INDIRECT(ADDRESS(2,COLUMN())),OFFSET($BN$2,0,0,ROW()-1,60),ROW()-1,FALSE))</f>
        <v>3996.768</v>
      </c>
      <c r="BH54">
        <f ca="1">IF(AND(ISNUMBER($BH$194),$B$145=1),$BH$194,HLOOKUP(INDIRECT(ADDRESS(2,COLUMN())),OFFSET($BN$2,0,0,ROW()-1,60),ROW()-1,FALSE))</f>
        <v>4016.3389999999999</v>
      </c>
      <c r="BI54">
        <f ca="1">IF(AND(ISNUMBER($BI$194),$B$145=1),$BI$194,HLOOKUP(INDIRECT(ADDRESS(2,COLUMN())),OFFSET($BN$2,0,0,ROW()-1,60),ROW()-1,FALSE))</f>
        <v>4204.357</v>
      </c>
      <c r="BJ54">
        <f ca="1">IF(AND(ISNUMBER($BJ$194),$B$145=1),$BJ$194,HLOOKUP(INDIRECT(ADDRESS(2,COLUMN())),OFFSET($BN$2,0,0,ROW()-1,60),ROW()-1,FALSE))</f>
        <v>4512.6090000000004</v>
      </c>
      <c r="BK54">
        <f ca="1">IF(AND(ISNUMBER($BK$194),$B$145=1),$BK$194,HLOOKUP(INDIRECT(ADDRESS(2,COLUMN())),OFFSET($BN$2,0,0,ROW()-1,60),ROW()-1,FALSE))</f>
        <v>3789.2930000000001</v>
      </c>
      <c r="BL54">
        <f ca="1">IF(AND(ISNUMBER($BL$194),$B$145=1),$BL$194,HLOOKUP(INDIRECT(ADDRESS(2,COLUMN())),OFFSET($BN$2,0,0,ROW()-1,60),ROW()-1,FALSE))</f>
        <v>3771.8150000000001</v>
      </c>
      <c r="BM54" t="str">
        <f ca="1">IF(AND(ISNUMBER($BM$194),$B$145=1),$BM$194,HLOOKUP(INDIRECT(ADDRESS(2,COLUMN())),OFFSET($BN$2,0,0,ROW()-1,60),ROW()-1,FALSE))</f>
        <v/>
      </c>
      <c r="BN54">
        <f>43988</f>
        <v>43988</v>
      </c>
      <c r="BO54">
        <f>38580</f>
        <v>38580</v>
      </c>
      <c r="BP54">
        <f>37587</f>
        <v>37587</v>
      </c>
      <c r="BQ54">
        <f>34963</f>
        <v>34963</v>
      </c>
      <c r="BR54">
        <f>29912.649</f>
        <v>29912.649000000001</v>
      </c>
      <c r="BS54">
        <f>26740.791</f>
        <v>26740.791000000001</v>
      </c>
      <c r="BT54">
        <f>22093.015</f>
        <v>22093.014999999999</v>
      </c>
      <c r="BU54">
        <f>19440.565</f>
        <v>19440.564999999999</v>
      </c>
      <c r="BV54">
        <f>19271.953</f>
        <v>19271.953000000001</v>
      </c>
      <c r="BW54">
        <f>18745.916</f>
        <v>18745.916000000001</v>
      </c>
      <c r="BX54">
        <f>19038.82</f>
        <v>19038.82</v>
      </c>
      <c r="BY54">
        <f>19364.888</f>
        <v>19364.887999999999</v>
      </c>
      <c r="BZ54">
        <f>13010.872</f>
        <v>13010.871999999999</v>
      </c>
      <c r="CA54">
        <f>10750.198</f>
        <v>10750.198</v>
      </c>
      <c r="CB54">
        <f>10773.68</f>
        <v>10773.68</v>
      </c>
      <c r="CC54">
        <f>10113.214</f>
        <v>10113.214</v>
      </c>
      <c r="CD54">
        <f>9828.969</f>
        <v>9828.9689999999991</v>
      </c>
      <c r="CE54">
        <f>9765.264</f>
        <v>9765.2639999999992</v>
      </c>
      <c r="CF54">
        <f>9391.154</f>
        <v>9391.1540000000005</v>
      </c>
      <c r="CG54">
        <f>8509.475</f>
        <v>8509.4750000000004</v>
      </c>
      <c r="CH54">
        <f>7059.674</f>
        <v>7059.674</v>
      </c>
      <c r="CI54">
        <f>7020.024</f>
        <v>7020.0240000000003</v>
      </c>
      <c r="CJ54">
        <f>6548.541</f>
        <v>6548.5410000000002</v>
      </c>
      <c r="CK54">
        <f>6804.629</f>
        <v>6804.6289999999999</v>
      </c>
      <c r="CL54">
        <f>6741.763</f>
        <v>6741.7629999999999</v>
      </c>
      <c r="CM54">
        <f>6930.767</f>
        <v>6930.7669999999998</v>
      </c>
      <c r="CN54">
        <f>7083.281</f>
        <v>7083.2809999999999</v>
      </c>
      <c r="CO54">
        <f>6857.814</f>
        <v>6857.8140000000003</v>
      </c>
      <c r="CP54">
        <f>7180.256</f>
        <v>7180.2560000000003</v>
      </c>
      <c r="CQ54">
        <f>6992.955</f>
        <v>6992.9549999999999</v>
      </c>
      <c r="CR54">
        <f>6596.53</f>
        <v>6596.53</v>
      </c>
      <c r="CS54">
        <f>7119.944</f>
        <v>7119.9440000000004</v>
      </c>
      <c r="CT54">
        <f>7006.678</f>
        <v>7006.6779999999999</v>
      </c>
      <c r="CU54">
        <f>6459.94</f>
        <v>6459.94</v>
      </c>
      <c r="CV54">
        <f>6632.736</f>
        <v>6632.7359999999999</v>
      </c>
      <c r="CW54">
        <f>6762.483</f>
        <v>6762.4830000000002</v>
      </c>
      <c r="CX54">
        <f>6936.548</f>
        <v>6936.5479999999998</v>
      </c>
      <c r="CY54">
        <f>6765.879</f>
        <v>6765.8789999999999</v>
      </c>
      <c r="CZ54">
        <f>7425.545</f>
        <v>7425.5450000000001</v>
      </c>
      <c r="DA54">
        <f>7120.55</f>
        <v>7120.55</v>
      </c>
      <c r="DB54">
        <f>7247.435</f>
        <v>7247.4350000000004</v>
      </c>
      <c r="DC54">
        <f>5698.701</f>
        <v>5698.701</v>
      </c>
      <c r="DD54">
        <f>5538.859</f>
        <v>5538.8590000000004</v>
      </c>
      <c r="DE54">
        <f>5677.019</f>
        <v>5677.0190000000002</v>
      </c>
      <c r="DF54">
        <f>5388.61</f>
        <v>5388.61</v>
      </c>
      <c r="DG54">
        <f>5162.598</f>
        <v>5162.598</v>
      </c>
      <c r="DH54">
        <f>5186.106</f>
        <v>5186.1059999999998</v>
      </c>
      <c r="DI54">
        <f>5280.907</f>
        <v>5280.9070000000002</v>
      </c>
      <c r="DJ54">
        <f>5227.57</f>
        <v>5227.57</v>
      </c>
      <c r="DK54">
        <f>5014.307</f>
        <v>5014.3069999999998</v>
      </c>
      <c r="DL54">
        <f>4635.826</f>
        <v>4635.826</v>
      </c>
      <c r="DM54">
        <f>4459.427</f>
        <v>4459.4269999999997</v>
      </c>
      <c r="DN54">
        <f>4058.245</f>
        <v>4058.2449999999999</v>
      </c>
      <c r="DO54">
        <f>3996.768</f>
        <v>3996.768</v>
      </c>
      <c r="DP54">
        <f>4016.339</f>
        <v>4016.3389999999999</v>
      </c>
      <c r="DQ54">
        <f>4204.357</f>
        <v>4204.357</v>
      </c>
      <c r="DR54">
        <f>4512.609</f>
        <v>4512.6090000000004</v>
      </c>
      <c r="DS54">
        <f>3789.293</f>
        <v>3789.2930000000001</v>
      </c>
      <c r="DT54">
        <f>3771.815</f>
        <v>3771.8150000000001</v>
      </c>
      <c r="DU54" t="str">
        <f>""</f>
        <v/>
      </c>
    </row>
    <row r="55" spans="1:125" x14ac:dyDescent="0.25">
      <c r="A55" t="str">
        <f>"                Flagstar Financial Inc"</f>
        <v xml:space="preserve">                Flagstar Financial Inc</v>
      </c>
      <c r="B55" t="str">
        <f>"FLG US Equity"</f>
        <v>FLG US Equity</v>
      </c>
      <c r="C55" t="str">
        <f t="shared" si="6"/>
        <v>FC023</v>
      </c>
      <c r="D55" t="str">
        <f t="shared" si="7"/>
        <v>FDIC_TOTAL_SECURITIES</v>
      </c>
      <c r="E55" t="str">
        <f t="shared" si="8"/>
        <v>Dynamic</v>
      </c>
      <c r="F55">
        <f ca="1">IF(AND(ISNUMBER($F$195),$B$145=1),$F$195,HLOOKUP(INDIRECT(ADDRESS(2,COLUMN())),OFFSET($BN$2,0,0,ROW()-1,60),ROW()-1,FALSE))</f>
        <v>10401.846</v>
      </c>
      <c r="G55">
        <f ca="1">IF(AND(ISNUMBER($G$195),$B$145=1),$G$195,HLOOKUP(INDIRECT(ADDRESS(2,COLUMN())),OFFSET($BN$2,0,0,ROW()-1,60),ROW()-1,FALSE))</f>
        <v>10510.848</v>
      </c>
      <c r="H55">
        <f ca="1">IF(AND(ISNUMBER($H$195),$B$145=1),$H$195,HLOOKUP(INDIRECT(ADDRESS(2,COLUMN())),OFFSET($BN$2,0,0,ROW()-1,60),ROW()-1,FALSE))</f>
        <v>10534.596</v>
      </c>
      <c r="I55">
        <f ca="1">IF(AND(ISNUMBER($I$195),$B$145=1),$I$195,HLOOKUP(INDIRECT(ADDRESS(2,COLUMN())),OFFSET($BN$2,0,0,ROW()-1,60),ROW()-1,FALSE))</f>
        <v>9336.4789999999994</v>
      </c>
      <c r="J55">
        <f ca="1">IF(AND(ISNUMBER($J$195),$B$145=1),$J$195,HLOOKUP(INDIRECT(ADDRESS(2,COLUMN())),OFFSET($BN$2,0,0,ROW()-1,60),ROW()-1,FALSE))</f>
        <v>9144.8559999999998</v>
      </c>
      <c r="K55">
        <f ca="1">IF(AND(ISNUMBER($K$195),$B$145=1),$K$195,HLOOKUP(INDIRECT(ADDRESS(2,COLUMN())),OFFSET($BN$2,0,0,ROW()-1,60),ROW()-1,FALSE))</f>
        <v>8722.6350000000002</v>
      </c>
      <c r="L55">
        <f ca="1">IF(AND(ISNUMBER($L$195),$B$145=1),$L$195,HLOOKUP(INDIRECT(ADDRESS(2,COLUMN())),OFFSET($BN$2,0,0,ROW()-1,60),ROW()-1,FALSE))</f>
        <v>7778.5609999999997</v>
      </c>
      <c r="M55">
        <f ca="1">IF(AND(ISNUMBER($M$195),$B$145=1),$M$195,HLOOKUP(INDIRECT(ADDRESS(2,COLUMN())),OFFSET($BN$2,0,0,ROW()-1,60),ROW()-1,FALSE))</f>
        <v>7599.0450000000001</v>
      </c>
      <c r="N55">
        <f ca="1">IF(AND(ISNUMBER($N$195),$B$145=1),$N$195,HLOOKUP(INDIRECT(ADDRESS(2,COLUMN())),OFFSET($BN$2,0,0,ROW()-1,60),ROW()-1,FALSE))</f>
        <v>9059.7389999999996</v>
      </c>
      <c r="O55">
        <f ca="1">IF(AND(ISNUMBER($O$195),$B$145=1),$O$195,HLOOKUP(INDIRECT(ADDRESS(2,COLUMN())),OFFSET($BN$2,0,0,ROW()-1,60),ROW()-1,FALSE))</f>
        <v>6689.1559999999999</v>
      </c>
      <c r="P55">
        <f ca="1">IF(AND(ISNUMBER($P$195),$B$145=1),$P$195,HLOOKUP(INDIRECT(ADDRESS(2,COLUMN())),OFFSET($BN$2,0,0,ROW()-1,60),ROW()-1,FALSE))</f>
        <v>5663.6270000000004</v>
      </c>
      <c r="Q55">
        <f ca="1">IF(AND(ISNUMBER($Q$195),$B$145=1),$Q$195,HLOOKUP(INDIRECT(ADDRESS(2,COLUMN())),OFFSET($BN$2,0,0,ROW()-1,60),ROW()-1,FALSE))</f>
        <v>5612.0259999999998</v>
      </c>
      <c r="R55">
        <f ca="1">IF(AND(ISNUMBER($R$195),$B$145=1),$R$195,HLOOKUP(INDIRECT(ADDRESS(2,COLUMN())),OFFSET($BN$2,0,0,ROW()-1,60),ROW()-1,FALSE))</f>
        <v>5779.97</v>
      </c>
      <c r="S55">
        <f ca="1">IF(AND(ISNUMBER($S$195),$B$145=1),$S$195,HLOOKUP(INDIRECT(ADDRESS(2,COLUMN())),OFFSET($BN$2,0,0,ROW()-1,60),ROW()-1,FALSE))</f>
        <v>5898.2129999999997</v>
      </c>
      <c r="T55">
        <f ca="1">IF(AND(ISNUMBER($T$195),$B$145=1),$T$195,HLOOKUP(INDIRECT(ADDRESS(2,COLUMN())),OFFSET($BN$2,0,0,ROW()-1,60),ROW()-1,FALSE))</f>
        <v>6077.3180000000002</v>
      </c>
      <c r="U55">
        <f ca="1">IF(AND(ISNUMBER($U$195),$B$145=1),$U$195,HLOOKUP(INDIRECT(ADDRESS(2,COLUMN())),OFFSET($BN$2,0,0,ROW()-1,60),ROW()-1,FALSE))</f>
        <v>6177.9049999999997</v>
      </c>
      <c r="V55">
        <f ca="1">IF(AND(ISNUMBER($V$195),$B$145=1),$V$195,HLOOKUP(INDIRECT(ADDRESS(2,COLUMN())),OFFSET($BN$2,0,0,ROW()-1,60),ROW()-1,FALSE))</f>
        <v>5813.3329999999996</v>
      </c>
      <c r="W55">
        <f ca="1">IF(AND(ISNUMBER($W$195),$B$145=1),$W$195,HLOOKUP(INDIRECT(ADDRESS(2,COLUMN())),OFFSET($BN$2,0,0,ROW()-1,60),ROW()-1,FALSE))</f>
        <v>5233.7439999999997</v>
      </c>
      <c r="X55">
        <f ca="1">IF(AND(ISNUMBER($X$195),$B$145=1),$X$195,HLOOKUP(INDIRECT(ADDRESS(2,COLUMN())),OFFSET($BN$2,0,0,ROW()-1,60),ROW()-1,FALSE))</f>
        <v>5168.1819999999998</v>
      </c>
      <c r="Y55">
        <f ca="1">IF(AND(ISNUMBER($Y$195),$B$145=1),$Y$195,HLOOKUP(INDIRECT(ADDRESS(2,COLUMN())),OFFSET($BN$2,0,0,ROW()-1,60),ROW()-1,FALSE))</f>
        <v>5455.2460000000001</v>
      </c>
      <c r="Z55">
        <f ca="1">IF(AND(ISNUMBER($Z$195),$B$145=1),$Z$195,HLOOKUP(INDIRECT(ADDRESS(2,COLUMN())),OFFSET($BN$2,0,0,ROW()-1,60),ROW()-1,FALSE))</f>
        <v>5853.0569999999998</v>
      </c>
      <c r="AA55">
        <f ca="1">IF(AND(ISNUMBER($AA$195),$B$145=1),$AA$195,HLOOKUP(INDIRECT(ADDRESS(2,COLUMN())),OFFSET($BN$2,0,0,ROW()-1,60),ROW()-1,FALSE))</f>
        <v>5854.5680000000002</v>
      </c>
      <c r="AB55">
        <f ca="1">IF(AND(ISNUMBER($AB$195),$B$145=1),$AB$195,HLOOKUP(INDIRECT(ADDRESS(2,COLUMN())),OFFSET($BN$2,0,0,ROW()-1,60),ROW()-1,FALSE))</f>
        <v>5738.1459999999997</v>
      </c>
      <c r="AC55">
        <f ca="1">IF(AND(ISNUMBER($AC$195),$B$145=1),$AC$195,HLOOKUP(INDIRECT(ADDRESS(2,COLUMN())),OFFSET($BN$2,0,0,ROW()-1,60),ROW()-1,FALSE))</f>
        <v>5724.6440000000002</v>
      </c>
      <c r="AD55">
        <f ca="1">IF(AND(ISNUMBER($AD$195),$B$145=1),$AD$195,HLOOKUP(INDIRECT(ADDRESS(2,COLUMN())),OFFSET($BN$2,0,0,ROW()-1,60),ROW()-1,FALSE))</f>
        <v>5613.52</v>
      </c>
      <c r="AE55">
        <f ca="1">IF(AND(ISNUMBER($AE$195),$B$145=1),$AE$195,HLOOKUP(INDIRECT(ADDRESS(2,COLUMN())),OFFSET($BN$2,0,0,ROW()-1,60),ROW()-1,FALSE))</f>
        <v>4764.2830000000004</v>
      </c>
      <c r="AF55">
        <f ca="1">IF(AND(ISNUMBER($AF$195),$B$145=1),$AF$195,HLOOKUP(INDIRECT(ADDRESS(2,COLUMN())),OFFSET($BN$2,0,0,ROW()-1,60),ROW()-1,FALSE))</f>
        <v>4122.8829999999998</v>
      </c>
      <c r="AG55">
        <f ca="1">IF(AND(ISNUMBER($AG$195),$B$145=1),$AG$195,HLOOKUP(INDIRECT(ADDRESS(2,COLUMN())),OFFSET($BN$2,0,0,ROW()-1,60),ROW()-1,FALSE))</f>
        <v>3391.9520000000002</v>
      </c>
      <c r="AH55">
        <f ca="1">IF(AND(ISNUMBER($AH$195),$B$145=1),$AH$195,HLOOKUP(INDIRECT(ADDRESS(2,COLUMN())),OFFSET($BN$2,0,0,ROW()-1,60),ROW()-1,FALSE))</f>
        <v>3531.4270000000001</v>
      </c>
      <c r="AI55">
        <f ca="1">IF(AND(ISNUMBER($AI$195),$B$145=1),$AI$195,HLOOKUP(INDIRECT(ADDRESS(2,COLUMN())),OFFSET($BN$2,0,0,ROW()-1,60),ROW()-1,FALSE))</f>
        <v>3031.0259999999998</v>
      </c>
      <c r="AJ55">
        <f ca="1">IF(AND(ISNUMBER($AJ$195),$B$145=1),$AJ$195,HLOOKUP(INDIRECT(ADDRESS(2,COLUMN())),OFFSET($BN$2,0,0,ROW()-1,60),ROW()-1,FALSE))</f>
        <v>3171.1170000000002</v>
      </c>
      <c r="AK55">
        <f ca="1">IF(AND(ISNUMBER($AK$195),$B$145=1),$AK$195,HLOOKUP(INDIRECT(ADDRESS(2,COLUMN())),OFFSET($BN$2,0,0,ROW()-1,60),ROW()-1,FALSE))</f>
        <v>3692.328</v>
      </c>
      <c r="AL55">
        <f ca="1">IF(AND(ISNUMBER($AL$195),$B$145=1),$AL$195,HLOOKUP(INDIRECT(ADDRESS(2,COLUMN())),OFFSET($BN$2,0,0,ROW()-1,60),ROW()-1,FALSE))</f>
        <v>3817.0569999999998</v>
      </c>
      <c r="AM55">
        <f ca="1">IF(AND(ISNUMBER($AM$195),$B$145=1),$AM$195,HLOOKUP(INDIRECT(ADDRESS(2,COLUMN())),OFFSET($BN$2,0,0,ROW()-1,60),ROW()-1,FALSE))</f>
        <v>3813.07</v>
      </c>
      <c r="AN55">
        <f ca="1">IF(AND(ISNUMBER($AN$195),$B$145=1),$AN$195,HLOOKUP(INDIRECT(ADDRESS(2,COLUMN())),OFFSET($BN$2,0,0,ROW()-1,60),ROW()-1,FALSE))</f>
        <v>3976.8310000000001</v>
      </c>
      <c r="AO55">
        <f ca="1">IF(AND(ISNUMBER($AO$195),$B$145=1),$AO$195,HLOOKUP(INDIRECT(ADDRESS(2,COLUMN())),OFFSET($BN$2,0,0,ROW()-1,60),ROW()-1,FALSE))</f>
        <v>4220.9989999999998</v>
      </c>
      <c r="AP55">
        <f ca="1">IF(AND(ISNUMBER($AP$195),$B$145=1),$AP$195,HLOOKUP(INDIRECT(ADDRESS(2,COLUMN())),OFFSET($BN$2,0,0,ROW()-1,60),ROW()-1,FALSE))</f>
        <v>6173.6450000000004</v>
      </c>
      <c r="AQ55">
        <f ca="1">IF(AND(ISNUMBER($AQ$195),$B$145=1),$AQ$195,HLOOKUP(INDIRECT(ADDRESS(2,COLUMN())),OFFSET($BN$2,0,0,ROW()-1,60),ROW()-1,FALSE))</f>
        <v>6759.6109999999999</v>
      </c>
      <c r="AR55">
        <f ca="1">IF(AND(ISNUMBER($AR$195),$B$145=1),$AR$195,HLOOKUP(INDIRECT(ADDRESS(2,COLUMN())),OFFSET($BN$2,0,0,ROW()-1,60),ROW()-1,FALSE))</f>
        <v>6823.5039999999999</v>
      </c>
      <c r="AS55">
        <f ca="1">IF(AND(ISNUMBER($AS$195),$B$145=1),$AS$195,HLOOKUP(INDIRECT(ADDRESS(2,COLUMN())),OFFSET($BN$2,0,0,ROW()-1,60),ROW()-1,FALSE))</f>
        <v>6960.5929999999998</v>
      </c>
      <c r="AT55">
        <f ca="1">IF(AND(ISNUMBER($AT$195),$B$145=1),$AT$195,HLOOKUP(INDIRECT(ADDRESS(2,COLUMN())),OFFSET($BN$2,0,0,ROW()-1,60),ROW()-1,FALSE))</f>
        <v>7096.45</v>
      </c>
      <c r="AU55">
        <f ca="1">IF(AND(ISNUMBER($AU$195),$B$145=1),$AU$195,HLOOKUP(INDIRECT(ADDRESS(2,COLUMN())),OFFSET($BN$2,0,0,ROW()-1,60),ROW()-1,FALSE))</f>
        <v>7511.2759999999998</v>
      </c>
      <c r="AV55">
        <f ca="1">IF(AND(ISNUMBER($AV$195),$B$145=1),$AV$195,HLOOKUP(INDIRECT(ADDRESS(2,COLUMN())),OFFSET($BN$2,0,0,ROW()-1,60),ROW()-1,FALSE))</f>
        <v>7792.9579999999996</v>
      </c>
      <c r="AW55">
        <f ca="1">IF(AND(ISNUMBER($AW$195),$B$145=1),$AW$195,HLOOKUP(INDIRECT(ADDRESS(2,COLUMN())),OFFSET($BN$2,0,0,ROW()-1,60),ROW()-1,FALSE))</f>
        <v>7952.4129999999996</v>
      </c>
      <c r="AX55">
        <f ca="1">IF(AND(ISNUMBER($AX$195),$B$145=1),$AX$195,HLOOKUP(INDIRECT(ADDRESS(2,COLUMN())),OFFSET($BN$2,0,0,ROW()-1,60),ROW()-1,FALSE))</f>
        <v>7951.02</v>
      </c>
      <c r="AY55">
        <f ca="1">IF(AND(ISNUMBER($AY$195),$B$145=1),$AY$195,HLOOKUP(INDIRECT(ADDRESS(2,COLUMN())),OFFSET($BN$2,0,0,ROW()-1,60),ROW()-1,FALSE))</f>
        <v>7083.42</v>
      </c>
      <c r="AZ55">
        <f ca="1">IF(AND(ISNUMBER($AZ$195),$B$145=1),$AZ$195,HLOOKUP(INDIRECT(ADDRESS(2,COLUMN())),OFFSET($BN$2,0,0,ROW()-1,60),ROW()-1,FALSE))</f>
        <v>5941.6959999999999</v>
      </c>
      <c r="BA55">
        <f ca="1">IF(AND(ISNUMBER($BA$195),$B$145=1),$BA$195,HLOOKUP(INDIRECT(ADDRESS(2,COLUMN())),OFFSET($BN$2,0,0,ROW()-1,60),ROW()-1,FALSE))</f>
        <v>5464.1880000000001</v>
      </c>
      <c r="BB55">
        <f ca="1">IF(AND(ISNUMBER($BB$195),$B$145=1),$BB$195,HLOOKUP(INDIRECT(ADDRESS(2,COLUMN())),OFFSET($BN$2,0,0,ROW()-1,60),ROW()-1,FALSE))</f>
        <v>4913.5280000000002</v>
      </c>
      <c r="BC55">
        <f ca="1">IF(AND(ISNUMBER($BC$195),$B$145=1),$BC$195,HLOOKUP(INDIRECT(ADDRESS(2,COLUMN())),OFFSET($BN$2,0,0,ROW()-1,60),ROW()-1,FALSE))</f>
        <v>5144.2079999999996</v>
      </c>
      <c r="BD55">
        <f ca="1">IF(AND(ISNUMBER($BD$195),$B$145=1),$BD$195,HLOOKUP(INDIRECT(ADDRESS(2,COLUMN())),OFFSET($BN$2,0,0,ROW()-1,60),ROW()-1,FALSE))</f>
        <v>4265.09</v>
      </c>
      <c r="BE55">
        <f ca="1">IF(AND(ISNUMBER($BE$195),$B$145=1),$BE$195,HLOOKUP(INDIRECT(ADDRESS(2,COLUMN())),OFFSET($BN$2,0,0,ROW()-1,60),ROW()-1,FALSE))</f>
        <v>4877.8090000000002</v>
      </c>
      <c r="BF55">
        <f ca="1">IF(AND(ISNUMBER($BF$195),$B$145=1),$BF$195,HLOOKUP(INDIRECT(ADDRESS(2,COLUMN())),OFFSET($BN$2,0,0,ROW()-1,60),ROW()-1,FALSE))</f>
        <v>4540.5159999999996</v>
      </c>
      <c r="BG55">
        <f ca="1">IF(AND(ISNUMBER($BG$195),$B$145=1),$BG$195,HLOOKUP(INDIRECT(ADDRESS(2,COLUMN())),OFFSET($BN$2,0,0,ROW()-1,60),ROW()-1,FALSE))</f>
        <v>5147.6170000000002</v>
      </c>
      <c r="BH55">
        <f ca="1">IF(AND(ISNUMBER($BH$195),$B$145=1),$BH$195,HLOOKUP(INDIRECT(ADDRESS(2,COLUMN())),OFFSET($BN$2,0,0,ROW()-1,60),ROW()-1,FALSE))</f>
        <v>5668.9179999999997</v>
      </c>
      <c r="BI55">
        <f ca="1">IF(AND(ISNUMBER($BI$195),$B$145=1),$BI$195,HLOOKUP(INDIRECT(ADDRESS(2,COLUMN())),OFFSET($BN$2,0,0,ROW()-1,60),ROW()-1,FALSE))</f>
        <v>4794.9970000000003</v>
      </c>
      <c r="BJ55">
        <f ca="1">IF(AND(ISNUMBER($BJ$195),$B$145=1),$BJ$195,HLOOKUP(INDIRECT(ADDRESS(2,COLUMN())),OFFSET($BN$2,0,0,ROW()-1,60),ROW()-1,FALSE))</f>
        <v>4788.8909999999996</v>
      </c>
      <c r="BK55">
        <f ca="1">IF(AND(ISNUMBER($BK$195),$B$145=1),$BK$195,HLOOKUP(INDIRECT(ADDRESS(2,COLUMN())),OFFSET($BN$2,0,0,ROW()-1,60),ROW()-1,FALSE))</f>
        <v>4725.9589999999998</v>
      </c>
      <c r="BL55">
        <f ca="1">IF(AND(ISNUMBER($BL$195),$B$145=1),$BL$195,HLOOKUP(INDIRECT(ADDRESS(2,COLUMN())),OFFSET($BN$2,0,0,ROW()-1,60),ROW()-1,FALSE))</f>
        <v>4697.2489999999998</v>
      </c>
      <c r="BM55" t="str">
        <f ca="1">IF(AND(ISNUMBER($BM$195),$B$145=1),$BM$195,HLOOKUP(INDIRECT(ADDRESS(2,COLUMN())),OFFSET($BN$2,0,0,ROW()-1,60),ROW()-1,FALSE))</f>
        <v/>
      </c>
      <c r="BN55">
        <f>10401.846</f>
        <v>10401.846</v>
      </c>
      <c r="BO55">
        <f>10510.848</f>
        <v>10510.848</v>
      </c>
      <c r="BP55">
        <f>10534.596</f>
        <v>10534.596</v>
      </c>
      <c r="BQ55">
        <f>9336.479</f>
        <v>9336.4789999999994</v>
      </c>
      <c r="BR55">
        <f>9144.856</f>
        <v>9144.8559999999998</v>
      </c>
      <c r="BS55">
        <f>8722.635</f>
        <v>8722.6350000000002</v>
      </c>
      <c r="BT55">
        <f>7778.561</f>
        <v>7778.5609999999997</v>
      </c>
      <c r="BU55">
        <f>7599.045</f>
        <v>7599.0450000000001</v>
      </c>
      <c r="BV55">
        <f>9059.739</f>
        <v>9059.7389999999996</v>
      </c>
      <c r="BW55">
        <f>6689.156</f>
        <v>6689.1559999999999</v>
      </c>
      <c r="BX55">
        <f>5663.627</f>
        <v>5663.6270000000004</v>
      </c>
      <c r="BY55">
        <f>5612.026</f>
        <v>5612.0259999999998</v>
      </c>
      <c r="BZ55">
        <f>5779.97</f>
        <v>5779.97</v>
      </c>
      <c r="CA55">
        <f>5898.213</f>
        <v>5898.2129999999997</v>
      </c>
      <c r="CB55">
        <f>6077.318</f>
        <v>6077.3180000000002</v>
      </c>
      <c r="CC55">
        <f>6177.905</f>
        <v>6177.9049999999997</v>
      </c>
      <c r="CD55">
        <f>5813.333</f>
        <v>5813.3329999999996</v>
      </c>
      <c r="CE55">
        <f>5233.744</f>
        <v>5233.7439999999997</v>
      </c>
      <c r="CF55">
        <f>5168.182</f>
        <v>5168.1819999999998</v>
      </c>
      <c r="CG55">
        <f>5455.246</f>
        <v>5455.2460000000001</v>
      </c>
      <c r="CH55">
        <f>5853.057</f>
        <v>5853.0569999999998</v>
      </c>
      <c r="CI55">
        <f>5854.568</f>
        <v>5854.5680000000002</v>
      </c>
      <c r="CJ55">
        <f>5738.146</f>
        <v>5738.1459999999997</v>
      </c>
      <c r="CK55">
        <f>5724.644</f>
        <v>5724.6440000000002</v>
      </c>
      <c r="CL55">
        <f>5613.52</f>
        <v>5613.52</v>
      </c>
      <c r="CM55">
        <f>4764.283</f>
        <v>4764.2830000000004</v>
      </c>
      <c r="CN55">
        <f>4122.883</f>
        <v>4122.8829999999998</v>
      </c>
      <c r="CO55">
        <f>3391.952</f>
        <v>3391.9520000000002</v>
      </c>
      <c r="CP55">
        <f>3531.427</f>
        <v>3531.4270000000001</v>
      </c>
      <c r="CQ55">
        <f>3031.026</f>
        <v>3031.0259999999998</v>
      </c>
      <c r="CR55">
        <f>3171.117</f>
        <v>3171.1170000000002</v>
      </c>
      <c r="CS55">
        <f>3692.328</f>
        <v>3692.328</v>
      </c>
      <c r="CT55">
        <f>3817.057</f>
        <v>3817.0569999999998</v>
      </c>
      <c r="CU55">
        <f>3813.07</f>
        <v>3813.07</v>
      </c>
      <c r="CV55">
        <f>3976.831</f>
        <v>3976.8310000000001</v>
      </c>
      <c r="CW55">
        <f>4220.999</f>
        <v>4220.9989999999998</v>
      </c>
      <c r="CX55">
        <f>6173.645</f>
        <v>6173.6450000000004</v>
      </c>
      <c r="CY55">
        <f>6759.611</f>
        <v>6759.6109999999999</v>
      </c>
      <c r="CZ55">
        <f>6823.504</f>
        <v>6823.5039999999999</v>
      </c>
      <c r="DA55">
        <f>6960.593</f>
        <v>6960.5929999999998</v>
      </c>
      <c r="DB55">
        <f>7096.45</f>
        <v>7096.45</v>
      </c>
      <c r="DC55">
        <f>7511.276</f>
        <v>7511.2759999999998</v>
      </c>
      <c r="DD55">
        <f>7792.958</f>
        <v>7792.9579999999996</v>
      </c>
      <c r="DE55">
        <f>7952.413</f>
        <v>7952.4129999999996</v>
      </c>
      <c r="DF55">
        <f>7951.02</f>
        <v>7951.02</v>
      </c>
      <c r="DG55">
        <f>7083.42</f>
        <v>7083.42</v>
      </c>
      <c r="DH55">
        <f>5941.696</f>
        <v>5941.6959999999999</v>
      </c>
      <c r="DI55">
        <f>5464.188</f>
        <v>5464.1880000000001</v>
      </c>
      <c r="DJ55">
        <f>4913.528</f>
        <v>4913.5280000000002</v>
      </c>
      <c r="DK55">
        <f>5144.208</f>
        <v>5144.2079999999996</v>
      </c>
      <c r="DL55">
        <f>4265.09</f>
        <v>4265.09</v>
      </c>
      <c r="DM55">
        <f>4877.809</f>
        <v>4877.8090000000002</v>
      </c>
      <c r="DN55">
        <f>4540.516</f>
        <v>4540.5159999999996</v>
      </c>
      <c r="DO55">
        <f>5147.617</f>
        <v>5147.6170000000002</v>
      </c>
      <c r="DP55">
        <f>5668.918</f>
        <v>5668.9179999999997</v>
      </c>
      <c r="DQ55">
        <f>4794.997</f>
        <v>4794.9970000000003</v>
      </c>
      <c r="DR55">
        <f>4788.891</f>
        <v>4788.8909999999996</v>
      </c>
      <c r="DS55">
        <f>4725.959</f>
        <v>4725.9589999999998</v>
      </c>
      <c r="DT55">
        <f>4697.249</f>
        <v>4697.2489999999998</v>
      </c>
      <c r="DU55" t="str">
        <f>""</f>
        <v/>
      </c>
    </row>
    <row r="56" spans="1:125" x14ac:dyDescent="0.25">
      <c r="A56" t="str">
        <f>"                Huntington Bancshares Inc/OH"</f>
        <v xml:space="preserve">                Huntington Bancshares Inc/OH</v>
      </c>
      <c r="B56" t="str">
        <f>"HBAN US Equity"</f>
        <v>HBAN US Equity</v>
      </c>
      <c r="C56" t="str">
        <f t="shared" si="6"/>
        <v>FC023</v>
      </c>
      <c r="D56" t="str">
        <f t="shared" si="7"/>
        <v>FDIC_TOTAL_SECURITIES</v>
      </c>
      <c r="E56" t="str">
        <f t="shared" si="8"/>
        <v>Dynamic</v>
      </c>
      <c r="F56">
        <f ca="1">IF(AND(ISNUMBER($F$196),$B$145=1),$F$196,HLOOKUP(INDIRECT(ADDRESS(2,COLUMN())),OFFSET($BN$2,0,0,ROW()-1,60),ROW()-1,FALSE))</f>
        <v>43640.821000000004</v>
      </c>
      <c r="G56">
        <f ca="1">IF(AND(ISNUMBER($G$196),$B$145=1),$G$196,HLOOKUP(INDIRECT(ADDRESS(2,COLUMN())),OFFSET($BN$2,0,0,ROW()-1,60),ROW()-1,FALSE))</f>
        <v>44162.175999999999</v>
      </c>
      <c r="H56">
        <f ca="1">IF(AND(ISNUMBER($H$196),$B$145=1),$H$196,HLOOKUP(INDIRECT(ADDRESS(2,COLUMN())),OFFSET($BN$2,0,0,ROW()-1,60),ROW()-1,FALSE))</f>
        <v>42490.555999999997</v>
      </c>
      <c r="I56">
        <f ca="1">IF(AND(ISNUMBER($I$196),$B$145=1),$I$196,HLOOKUP(INDIRECT(ADDRESS(2,COLUMN())),OFFSET($BN$2,0,0,ROW()-1,60),ROW()-1,FALSE))</f>
        <v>42216.74</v>
      </c>
      <c r="J56">
        <f ca="1">IF(AND(ISNUMBER($J$196),$B$145=1),$J$196,HLOOKUP(INDIRECT(ADDRESS(2,COLUMN())),OFFSET($BN$2,0,0,ROW()-1,60),ROW()-1,FALSE))</f>
        <v>41055.000999999997</v>
      </c>
      <c r="K56">
        <f ca="1">IF(AND(ISNUMBER($K$196),$B$145=1),$K$196,HLOOKUP(INDIRECT(ADDRESS(2,COLUMN())),OFFSET($BN$2,0,0,ROW()-1,60),ROW()-1,FALSE))</f>
        <v>38010.877999999997</v>
      </c>
      <c r="L56">
        <f ca="1">IF(AND(ISNUMBER($L$196),$B$145=1),$L$196,HLOOKUP(INDIRECT(ADDRESS(2,COLUMN())),OFFSET($BN$2,0,0,ROW()-1,60),ROW()-1,FALSE))</f>
        <v>39811.184999999998</v>
      </c>
      <c r="M56">
        <f ca="1">IF(AND(ISNUMBER($M$196),$B$145=1),$M$196,HLOOKUP(INDIRECT(ADDRESS(2,COLUMN())),OFFSET($BN$2,0,0,ROW()-1,60),ROW()-1,FALSE))</f>
        <v>41063.053999999996</v>
      </c>
      <c r="N56">
        <f ca="1">IF(AND(ISNUMBER($N$196),$B$145=1),$N$196,HLOOKUP(INDIRECT(ADDRESS(2,COLUMN())),OFFSET($BN$2,0,0,ROW()-1,60),ROW()-1,FALSE))</f>
        <v>40474.06</v>
      </c>
      <c r="O56">
        <f ca="1">IF(AND(ISNUMBER($O$196),$B$145=1),$O$196,HLOOKUP(INDIRECT(ADDRESS(2,COLUMN())),OFFSET($BN$2,0,0,ROW()-1,60),ROW()-1,FALSE))</f>
        <v>40479.027000000002</v>
      </c>
      <c r="P56">
        <f ca="1">IF(AND(ISNUMBER($P$196),$B$145=1),$P$196,HLOOKUP(INDIRECT(ADDRESS(2,COLUMN())),OFFSET($BN$2,0,0,ROW()-1,60),ROW()-1,FALSE))</f>
        <v>41732.016000000003</v>
      </c>
      <c r="Q56">
        <f ca="1">IF(AND(ISNUMBER($Q$196),$B$145=1),$Q$196,HLOOKUP(INDIRECT(ADDRESS(2,COLUMN())),OFFSET($BN$2,0,0,ROW()-1,60),ROW()-1,FALSE))</f>
        <v>42341.27</v>
      </c>
      <c r="R56">
        <f ca="1">IF(AND(ISNUMBER($R$196),$B$145=1),$R$196,HLOOKUP(INDIRECT(ADDRESS(2,COLUMN())),OFFSET($BN$2,0,0,ROW()-1,60),ROW()-1,FALSE))</f>
        <v>40906.214999999997</v>
      </c>
      <c r="S56">
        <f ca="1">IF(AND(ISNUMBER($S$196),$B$145=1),$S$196,HLOOKUP(INDIRECT(ADDRESS(2,COLUMN())),OFFSET($BN$2,0,0,ROW()-1,60),ROW()-1,FALSE))</f>
        <v>38108.432999999997</v>
      </c>
      <c r="T56">
        <f ca="1">IF(AND(ISNUMBER($T$196),$B$145=1),$T$196,HLOOKUP(INDIRECT(ADDRESS(2,COLUMN())),OFFSET($BN$2,0,0,ROW()-1,60),ROW()-1,FALSE))</f>
        <v>34330.057000000001</v>
      </c>
      <c r="U56">
        <f ca="1">IF(AND(ISNUMBER($U$196),$B$145=1),$U$196,HLOOKUP(INDIRECT(ADDRESS(2,COLUMN())),OFFSET($BN$2,0,0,ROW()-1,60),ROW()-1,FALSE))</f>
        <v>27189.637999999999</v>
      </c>
      <c r="V56">
        <f ca="1">IF(AND(ISNUMBER($V$196),$B$145=1),$V$196,HLOOKUP(INDIRECT(ADDRESS(2,COLUMN())),OFFSET($BN$2,0,0,ROW()-1,60),ROW()-1,FALSE))</f>
        <v>25346.447</v>
      </c>
      <c r="W56">
        <f ca="1">IF(AND(ISNUMBER($W$196),$B$145=1),$W$196,HLOOKUP(INDIRECT(ADDRESS(2,COLUMN())),OFFSET($BN$2,0,0,ROW()-1,60),ROW()-1,FALSE))</f>
        <v>23363.683000000001</v>
      </c>
      <c r="X56">
        <f ca="1">IF(AND(ISNUMBER($X$196),$B$145=1),$X$196,HLOOKUP(INDIRECT(ADDRESS(2,COLUMN())),OFFSET($BN$2,0,0,ROW()-1,60),ROW()-1,FALSE))</f>
        <v>22713.115000000002</v>
      </c>
      <c r="Y56">
        <f ca="1">IF(AND(ISNUMBER($Y$196),$B$145=1),$Y$196,HLOOKUP(INDIRECT(ADDRESS(2,COLUMN())),OFFSET($BN$2,0,0,ROW()-1,60),ROW()-1,FALSE))</f>
        <v>24814.678</v>
      </c>
      <c r="Z56">
        <f ca="1">IF(AND(ISNUMBER($Z$196),$B$145=1),$Z$196,HLOOKUP(INDIRECT(ADDRESS(2,COLUMN())),OFFSET($BN$2,0,0,ROW()-1,60),ROW()-1,FALSE))</f>
        <v>23218.286</v>
      </c>
      <c r="AA56">
        <f ca="1">IF(AND(ISNUMBER($AA$196),$B$145=1),$AA$196,HLOOKUP(INDIRECT(ADDRESS(2,COLUMN())),OFFSET($BN$2,0,0,ROW()-1,60),ROW()-1,FALSE))</f>
        <v>22715.868999999999</v>
      </c>
      <c r="AB56">
        <f ca="1">IF(AND(ISNUMBER($AB$196),$B$145=1),$AB$196,HLOOKUP(INDIRECT(ADDRESS(2,COLUMN())),OFFSET($BN$2,0,0,ROW()-1,60),ROW()-1,FALSE))</f>
        <v>22398.909</v>
      </c>
      <c r="AC56">
        <f ca="1">IF(AND(ISNUMBER($AC$196),$B$145=1),$AC$196,HLOOKUP(INDIRECT(ADDRESS(2,COLUMN())),OFFSET($BN$2,0,0,ROW()-1,60),ROW()-1,FALSE))</f>
        <v>22729.608</v>
      </c>
      <c r="AD56">
        <f ca="1">IF(AND(ISNUMBER($AD$196),$B$145=1),$AD$196,HLOOKUP(INDIRECT(ADDRESS(2,COLUMN())),OFFSET($BN$2,0,0,ROW()-1,60),ROW()-1,FALSE))</f>
        <v>22344.978999999999</v>
      </c>
      <c r="AE56">
        <f ca="1">IF(AND(ISNUMBER($AE$196),$B$145=1),$AE$196,HLOOKUP(INDIRECT(ADDRESS(2,COLUMN())),OFFSET($BN$2,0,0,ROW()-1,60),ROW()-1,FALSE))</f>
        <v>22192.288</v>
      </c>
      <c r="AF56">
        <f ca="1">IF(AND(ISNUMBER($AF$196),$B$145=1),$AF$196,HLOOKUP(INDIRECT(ADDRESS(2,COLUMN())),OFFSET($BN$2,0,0,ROW()-1,60),ROW()-1,FALSE))</f>
        <v>22751.955000000002</v>
      </c>
      <c r="AG56">
        <f ca="1">IF(AND(ISNUMBER($AG$196),$B$145=1),$AG$196,HLOOKUP(INDIRECT(ADDRESS(2,COLUMN())),OFFSET($BN$2,0,0,ROW()-1,60),ROW()-1,FALSE))</f>
        <v>23395.888999999999</v>
      </c>
      <c r="AH56">
        <f ca="1">IF(AND(ISNUMBER($AH$196),$B$145=1),$AH$196,HLOOKUP(INDIRECT(ADDRESS(2,COLUMN())),OFFSET($BN$2,0,0,ROW()-1,60),ROW()-1,FALSE))</f>
        <v>23979.212</v>
      </c>
      <c r="AI56">
        <f ca="1">IF(AND(ISNUMBER($AI$196),$B$145=1),$AI$196,HLOOKUP(INDIRECT(ADDRESS(2,COLUMN())),OFFSET($BN$2,0,0,ROW()-1,60),ROW()-1,FALSE))</f>
        <v>23558.440999999999</v>
      </c>
      <c r="AJ56">
        <f ca="1">IF(AND(ISNUMBER($AJ$196),$B$145=1),$AJ$196,HLOOKUP(INDIRECT(ADDRESS(2,COLUMN())),OFFSET($BN$2,0,0,ROW()-1,60),ROW()-1,FALSE))</f>
        <v>23082.411</v>
      </c>
      <c r="AK56">
        <f ca="1">IF(AND(ISNUMBER($AK$196),$B$145=1),$AK$196,HLOOKUP(INDIRECT(ADDRESS(2,COLUMN())),OFFSET($BN$2,0,0,ROW()-1,60),ROW()-1,FALSE))</f>
        <v>23154.493999999999</v>
      </c>
      <c r="AL56">
        <f ca="1">IF(AND(ISNUMBER($AL$196),$B$145=1),$AL$196,HLOOKUP(INDIRECT(ADDRESS(2,COLUMN())),OFFSET($BN$2,0,0,ROW()-1,60),ROW()-1,FALSE))</f>
        <v>22822.072</v>
      </c>
      <c r="AM56">
        <f ca="1">IF(AND(ISNUMBER($AM$196),$B$145=1),$AM$196,HLOOKUP(INDIRECT(ADDRESS(2,COLUMN())),OFFSET($BN$2,0,0,ROW()-1,60),ROW()-1,FALSE))</f>
        <v>21279.681</v>
      </c>
      <c r="AN56">
        <f ca="1">IF(AND(ISNUMBER($AN$196),$B$145=1),$AN$196,HLOOKUP(INDIRECT(ADDRESS(2,COLUMN())),OFFSET($BN$2,0,0,ROW()-1,60),ROW()-1,FALSE))</f>
        <v>14977.852000000001</v>
      </c>
      <c r="AO56">
        <f ca="1">IF(AND(ISNUMBER($AO$196),$B$145=1),$AO$196,HLOOKUP(INDIRECT(ADDRESS(2,COLUMN())),OFFSET($BN$2,0,0,ROW()-1,60),ROW()-1,FALSE))</f>
        <v>14932.065000000001</v>
      </c>
      <c r="AP56">
        <f ca="1">IF(AND(ISNUMBER($AP$196),$B$145=1),$AP$196,HLOOKUP(INDIRECT(ADDRESS(2,COLUMN())),OFFSET($BN$2,0,0,ROW()-1,60),ROW()-1,FALSE))</f>
        <v>14602.245000000001</v>
      </c>
      <c r="AQ56">
        <f ca="1">IF(AND(ISNUMBER($AQ$196),$B$145=1),$AQ$196,HLOOKUP(INDIRECT(ADDRESS(2,COLUMN())),OFFSET($BN$2,0,0,ROW()-1,60),ROW()-1,FALSE))</f>
        <v>13920.138000000001</v>
      </c>
      <c r="AR56">
        <f ca="1">IF(AND(ISNUMBER($AR$196),$B$145=1),$AR$196,HLOOKUP(INDIRECT(ADDRESS(2,COLUMN())),OFFSET($BN$2,0,0,ROW()-1,60),ROW()-1,FALSE))</f>
        <v>13226.936</v>
      </c>
      <c r="AS56">
        <f ca="1">IF(AND(ISNUMBER($AS$196),$B$145=1),$AS$196,HLOOKUP(INDIRECT(ADDRESS(2,COLUMN())),OFFSET($BN$2,0,0,ROW()-1,60),ROW()-1,FALSE))</f>
        <v>12927.290999999999</v>
      </c>
      <c r="AT56">
        <f ca="1">IF(AND(ISNUMBER($AT$196),$B$145=1),$AT$196,HLOOKUP(INDIRECT(ADDRESS(2,COLUMN())),OFFSET($BN$2,0,0,ROW()-1,60),ROW()-1,FALSE))</f>
        <v>12433.014999999999</v>
      </c>
      <c r="AU56">
        <f ca="1">IF(AND(ISNUMBER($AU$196),$B$145=1),$AU$196,HLOOKUP(INDIRECT(ADDRESS(2,COLUMN())),OFFSET($BN$2,0,0,ROW()-1,60),ROW()-1,FALSE))</f>
        <v>11886.975</v>
      </c>
      <c r="AV56">
        <f ca="1">IF(AND(ISNUMBER($AV$196),$B$145=1),$AV$196,HLOOKUP(INDIRECT(ADDRESS(2,COLUMN())),OFFSET($BN$2,0,0,ROW()-1,60),ROW()-1,FALSE))</f>
        <v>11781.972</v>
      </c>
      <c r="AW56">
        <f ca="1">IF(AND(ISNUMBER($AW$196),$B$145=1),$AW$196,HLOOKUP(INDIRECT(ADDRESS(2,COLUMN())),OFFSET($BN$2,0,0,ROW()-1,60),ROW()-1,FALSE))</f>
        <v>11166.361000000001</v>
      </c>
      <c r="AX56">
        <f ca="1">IF(AND(ISNUMBER($AX$196),$B$145=1),$AX$196,HLOOKUP(INDIRECT(ADDRESS(2,COLUMN())),OFFSET($BN$2,0,0,ROW()-1,60),ROW()-1,FALSE))</f>
        <v>10824.429</v>
      </c>
      <c r="AY56">
        <f ca="1">IF(AND(ISNUMBER($AY$196),$B$145=1),$AY$196,HLOOKUP(INDIRECT(ADDRESS(2,COLUMN())),OFFSET($BN$2,0,0,ROW()-1,60),ROW()-1,FALSE))</f>
        <v>8365.34</v>
      </c>
      <c r="AZ56">
        <f ca="1">IF(AND(ISNUMBER($AZ$196),$B$145=1),$AZ$196,HLOOKUP(INDIRECT(ADDRESS(2,COLUMN())),OFFSET($BN$2,0,0,ROW()-1,60),ROW()-1,FALSE))</f>
        <v>8671.7150000000001</v>
      </c>
      <c r="BA56">
        <f ca="1">IF(AND(ISNUMBER($BA$196),$B$145=1),$BA$196,HLOOKUP(INDIRECT(ADDRESS(2,COLUMN())),OFFSET($BN$2,0,0,ROW()-1,60),ROW()-1,FALSE))</f>
        <v>8885.9740000000002</v>
      </c>
      <c r="BB56">
        <f ca="1">IF(AND(ISNUMBER($BB$196),$B$145=1),$BB$196,HLOOKUP(INDIRECT(ADDRESS(2,COLUMN())),OFFSET($BN$2,0,0,ROW()-1,60),ROW()-1,FALSE))</f>
        <v>9001.98</v>
      </c>
      <c r="BC56">
        <f ca="1">IF(AND(ISNUMBER($BC$196),$B$145=1),$BC$196,HLOOKUP(INDIRECT(ADDRESS(2,COLUMN())),OFFSET($BN$2,0,0,ROW()-1,60),ROW()-1,FALSE))</f>
        <v>9059.2540000000008</v>
      </c>
      <c r="BD56">
        <f ca="1">IF(AND(ISNUMBER($BD$196),$B$145=1),$BD$196,HLOOKUP(INDIRECT(ADDRESS(2,COLUMN())),OFFSET($BN$2,0,0,ROW()-1,60),ROW()-1,FALSE))</f>
        <v>8969.1290000000008</v>
      </c>
      <c r="BE56">
        <f ca="1">IF(AND(ISNUMBER($BE$196),$B$145=1),$BE$196,HLOOKUP(INDIRECT(ADDRESS(2,COLUMN())),OFFSET($BN$2,0,0,ROW()-1,60),ROW()-1,FALSE))</f>
        <v>9240.2279999999992</v>
      </c>
      <c r="BF56">
        <f ca="1">IF(AND(ISNUMBER($BF$196),$B$145=1),$BF$196,HLOOKUP(INDIRECT(ADDRESS(2,COLUMN())),OFFSET($BN$2,0,0,ROW()-1,60),ROW()-1,FALSE))</f>
        <v>8432.0499999999993</v>
      </c>
      <c r="BG56">
        <f ca="1">IF(AND(ISNUMBER($BG$196),$B$145=1),$BG$196,HLOOKUP(INDIRECT(ADDRESS(2,COLUMN())),OFFSET($BN$2,0,0,ROW()-1,60),ROW()-1,FALSE))</f>
        <v>9061.5</v>
      </c>
      <c r="BH56">
        <f ca="1">IF(AND(ISNUMBER($BH$196),$B$145=1),$BH$196,HLOOKUP(INDIRECT(ADDRESS(2,COLUMN())),OFFSET($BN$2,0,0,ROW()-1,60),ROW()-1,FALSE))</f>
        <v>8466.5329999999994</v>
      </c>
      <c r="BI56">
        <f ca="1">IF(AND(ISNUMBER($BI$196),$B$145=1),$BI$196,HLOOKUP(INDIRECT(ADDRESS(2,COLUMN())),OFFSET($BN$2,0,0,ROW()-1,60),ROW()-1,FALSE))</f>
        <v>9013.9770000000008</v>
      </c>
      <c r="BJ56">
        <f ca="1">IF(AND(ISNUMBER($BJ$196),$B$145=1),$BJ$196,HLOOKUP(INDIRECT(ADDRESS(2,COLUMN())),OFFSET($BN$2,0,0,ROW()-1,60),ROW()-1,FALSE))</f>
        <v>9586.5220000000008</v>
      </c>
      <c r="BK56">
        <f ca="1">IF(AND(ISNUMBER($BK$196),$B$145=1),$BK$196,HLOOKUP(INDIRECT(ADDRESS(2,COLUMN())),OFFSET($BN$2,0,0,ROW()-1,60),ROW()-1,FALSE))</f>
        <v>9413.4159999999993</v>
      </c>
      <c r="BL56">
        <f ca="1">IF(AND(ISNUMBER($BL$196),$B$145=1),$BL$196,HLOOKUP(INDIRECT(ADDRESS(2,COLUMN())),OFFSET($BN$2,0,0,ROW()-1,60),ROW()-1,FALSE))</f>
        <v>8498.8040000000001</v>
      </c>
      <c r="BM56" t="str">
        <f ca="1">IF(AND(ISNUMBER($BM$196),$B$145=1),$BM$196,HLOOKUP(INDIRECT(ADDRESS(2,COLUMN())),OFFSET($BN$2,0,0,ROW()-1,60),ROW()-1,FALSE))</f>
        <v/>
      </c>
      <c r="BN56">
        <f>43640.821</f>
        <v>43640.821000000004</v>
      </c>
      <c r="BO56">
        <f>44162.176</f>
        <v>44162.175999999999</v>
      </c>
      <c r="BP56">
        <f>42490.556</f>
        <v>42490.555999999997</v>
      </c>
      <c r="BQ56">
        <f>42216.74</f>
        <v>42216.74</v>
      </c>
      <c r="BR56">
        <f>41055.001</f>
        <v>41055.000999999997</v>
      </c>
      <c r="BS56">
        <f>38010.878</f>
        <v>38010.877999999997</v>
      </c>
      <c r="BT56">
        <f>39811.185</f>
        <v>39811.184999999998</v>
      </c>
      <c r="BU56">
        <f>41063.054</f>
        <v>41063.053999999996</v>
      </c>
      <c r="BV56">
        <f>40474.06</f>
        <v>40474.06</v>
      </c>
      <c r="BW56">
        <f>40479.027</f>
        <v>40479.027000000002</v>
      </c>
      <c r="BX56">
        <f>41732.016</f>
        <v>41732.016000000003</v>
      </c>
      <c r="BY56">
        <f>42341.27</f>
        <v>42341.27</v>
      </c>
      <c r="BZ56">
        <f>40906.215</f>
        <v>40906.214999999997</v>
      </c>
      <c r="CA56">
        <f>38108.433</f>
        <v>38108.432999999997</v>
      </c>
      <c r="CB56">
        <f>34330.057</f>
        <v>34330.057000000001</v>
      </c>
      <c r="CC56">
        <f>27189.638</f>
        <v>27189.637999999999</v>
      </c>
      <c r="CD56">
        <f>25346.447</f>
        <v>25346.447</v>
      </c>
      <c r="CE56">
        <f>23363.683</f>
        <v>23363.683000000001</v>
      </c>
      <c r="CF56">
        <f>22713.115</f>
        <v>22713.115000000002</v>
      </c>
      <c r="CG56">
        <f>24814.678</f>
        <v>24814.678</v>
      </c>
      <c r="CH56">
        <f>23218.286</f>
        <v>23218.286</v>
      </c>
      <c r="CI56">
        <f>22715.869</f>
        <v>22715.868999999999</v>
      </c>
      <c r="CJ56">
        <f>22398.909</f>
        <v>22398.909</v>
      </c>
      <c r="CK56">
        <f>22729.608</f>
        <v>22729.608</v>
      </c>
      <c r="CL56">
        <f>22344.979</f>
        <v>22344.978999999999</v>
      </c>
      <c r="CM56">
        <f>22192.288</f>
        <v>22192.288</v>
      </c>
      <c r="CN56">
        <f>22751.955</f>
        <v>22751.955000000002</v>
      </c>
      <c r="CO56">
        <f>23395.889</f>
        <v>23395.888999999999</v>
      </c>
      <c r="CP56">
        <f>23979.212</f>
        <v>23979.212</v>
      </c>
      <c r="CQ56">
        <f>23558.441</f>
        <v>23558.440999999999</v>
      </c>
      <c r="CR56">
        <f>23082.411</f>
        <v>23082.411</v>
      </c>
      <c r="CS56">
        <f>23154.494</f>
        <v>23154.493999999999</v>
      </c>
      <c r="CT56">
        <f>22822.072</f>
        <v>22822.072</v>
      </c>
      <c r="CU56">
        <f>21279.681</f>
        <v>21279.681</v>
      </c>
      <c r="CV56">
        <f>14977.852</f>
        <v>14977.852000000001</v>
      </c>
      <c r="CW56">
        <f>14932.065</f>
        <v>14932.065000000001</v>
      </c>
      <c r="CX56">
        <f>14602.245</f>
        <v>14602.245000000001</v>
      </c>
      <c r="CY56">
        <f>13920.138</f>
        <v>13920.138000000001</v>
      </c>
      <c r="CZ56">
        <f>13226.936</f>
        <v>13226.936</v>
      </c>
      <c r="DA56">
        <f>12927.291</f>
        <v>12927.290999999999</v>
      </c>
      <c r="DB56">
        <f>12433.015</f>
        <v>12433.014999999999</v>
      </c>
      <c r="DC56">
        <f>11886.975</f>
        <v>11886.975</v>
      </c>
      <c r="DD56">
        <f>11781.972</f>
        <v>11781.972</v>
      </c>
      <c r="DE56">
        <f>11166.361</f>
        <v>11166.361000000001</v>
      </c>
      <c r="DF56">
        <f>10824.429</f>
        <v>10824.429</v>
      </c>
      <c r="DG56">
        <f>8365.34</f>
        <v>8365.34</v>
      </c>
      <c r="DH56">
        <f>8671.715</f>
        <v>8671.7150000000001</v>
      </c>
      <c r="DI56">
        <f>8885.974</f>
        <v>8885.9740000000002</v>
      </c>
      <c r="DJ56">
        <f>9001.98</f>
        <v>9001.98</v>
      </c>
      <c r="DK56">
        <f>9059.254</f>
        <v>9059.2540000000008</v>
      </c>
      <c r="DL56">
        <f>8969.129</f>
        <v>8969.1290000000008</v>
      </c>
      <c r="DM56">
        <f>9240.228</f>
        <v>9240.2279999999992</v>
      </c>
      <c r="DN56">
        <f>8432.05</f>
        <v>8432.0499999999993</v>
      </c>
      <c r="DO56">
        <f>9061.5</f>
        <v>9061.5</v>
      </c>
      <c r="DP56">
        <f>8466.533</f>
        <v>8466.5329999999994</v>
      </c>
      <c r="DQ56">
        <f>9013.977</f>
        <v>9013.9770000000008</v>
      </c>
      <c r="DR56">
        <f>9586.522</f>
        <v>9586.5220000000008</v>
      </c>
      <c r="DS56">
        <f>9413.416</f>
        <v>9413.4159999999993</v>
      </c>
      <c r="DT56">
        <f>8498.804</f>
        <v>8498.8040000000001</v>
      </c>
      <c r="DU56" t="str">
        <f>""</f>
        <v/>
      </c>
    </row>
    <row r="57" spans="1:125" x14ac:dyDescent="0.25">
      <c r="A57" t="str">
        <f>"                JPMorgan Chase &amp; Co"</f>
        <v xml:space="preserve">                JPMorgan Chase &amp; Co</v>
      </c>
      <c r="B57" t="str">
        <f>"JPM US Equity"</f>
        <v>JPM US Equity</v>
      </c>
      <c r="C57" t="str">
        <f t="shared" si="6"/>
        <v>FC023</v>
      </c>
      <c r="D57" t="str">
        <f t="shared" si="7"/>
        <v>FDIC_TOTAL_SECURITIES</v>
      </c>
      <c r="E57" t="str">
        <f t="shared" si="8"/>
        <v>Dynamic</v>
      </c>
      <c r="F57">
        <f ca="1">IF(AND(ISNUMBER($F$197),$B$145=1),$F$197,HLOOKUP(INDIRECT(ADDRESS(2,COLUMN())),OFFSET($BN$2,0,0,ROW()-1,60),ROW()-1,FALSE))</f>
        <v>681423</v>
      </c>
      <c r="G57">
        <f ca="1">IF(AND(ISNUMBER($G$197),$B$145=1),$G$197,HLOOKUP(INDIRECT(ADDRESS(2,COLUMN())),OFFSET($BN$2,0,0,ROW()-1,60),ROW()-1,FALSE))</f>
        <v>634625</v>
      </c>
      <c r="H57">
        <f ca="1">IF(AND(ISNUMBER($H$197),$B$145=1),$H$197,HLOOKUP(INDIRECT(ADDRESS(2,COLUMN())),OFFSET($BN$2,0,0,ROW()-1,60),ROW()-1,FALSE))</f>
        <v>590123</v>
      </c>
      <c r="I57">
        <f ca="1">IF(AND(ISNUMBER($I$197),$B$145=1),$I$197,HLOOKUP(INDIRECT(ADDRESS(2,COLUMN())),OFFSET($BN$2,0,0,ROW()-1,60),ROW()-1,FALSE))</f>
        <v>570799</v>
      </c>
      <c r="J57">
        <f ca="1">IF(AND(ISNUMBER($J$197),$B$145=1),$J$197,HLOOKUP(INDIRECT(ADDRESS(2,COLUMN())),OFFSET($BN$2,0,0,ROW()-1,60),ROW()-1,FALSE))</f>
        <v>571646</v>
      </c>
      <c r="K57">
        <f ca="1">IF(AND(ISNUMBER($K$197),$B$145=1),$K$197,HLOOKUP(INDIRECT(ADDRESS(2,COLUMN())),OFFSET($BN$2,0,0,ROW()-1,60),ROW()-1,FALSE))</f>
        <v>585467</v>
      </c>
      <c r="L57">
        <f ca="1">IF(AND(ISNUMBER($L$197),$B$145=1),$L$197,HLOOKUP(INDIRECT(ADDRESS(2,COLUMN())),OFFSET($BN$2,0,0,ROW()-1,60),ROW()-1,FALSE))</f>
        <v>612277</v>
      </c>
      <c r="M57">
        <f ca="1">IF(AND(ISNUMBER($M$197),$B$145=1),$M$197,HLOOKUP(INDIRECT(ADDRESS(2,COLUMN())),OFFSET($BN$2,0,0,ROW()-1,60),ROW()-1,FALSE))</f>
        <v>610136</v>
      </c>
      <c r="N57">
        <f ca="1">IF(AND(ISNUMBER($N$197),$B$145=1),$N$197,HLOOKUP(INDIRECT(ADDRESS(2,COLUMN())),OFFSET($BN$2,0,0,ROW()-1,60),ROW()-1,FALSE))</f>
        <v>631229</v>
      </c>
      <c r="O57">
        <f ca="1">IF(AND(ISNUMBER($O$197),$B$145=1),$O$197,HLOOKUP(INDIRECT(ADDRESS(2,COLUMN())),OFFSET($BN$2,0,0,ROW()-1,60),ROW()-1,FALSE))</f>
        <v>618297</v>
      </c>
      <c r="P57">
        <f ca="1">IF(AND(ISNUMBER($P$197),$B$145=1),$P$197,HLOOKUP(INDIRECT(ADDRESS(2,COLUMN())),OFFSET($BN$2,0,0,ROW()-1,60),ROW()-1,FALSE))</f>
        <v>663765</v>
      </c>
      <c r="Q57">
        <f ca="1">IF(AND(ISNUMBER($Q$197),$B$145=1),$Q$197,HLOOKUP(INDIRECT(ADDRESS(2,COLUMN())),OFFSET($BN$2,0,0,ROW()-1,60),ROW()-1,FALSE))</f>
        <v>679499</v>
      </c>
      <c r="R57">
        <f ca="1">IF(AND(ISNUMBER($R$197),$B$145=1),$R$197,HLOOKUP(INDIRECT(ADDRESS(2,COLUMN())),OFFSET($BN$2,0,0,ROW()-1,60),ROW()-1,FALSE))</f>
        <v>672271</v>
      </c>
      <c r="S57">
        <f ca="1">IF(AND(ISNUMBER($S$197),$B$145=1),$S$197,HLOOKUP(INDIRECT(ADDRESS(2,COLUMN())),OFFSET($BN$2,0,0,ROW()-1,60),ROW()-1,FALSE))</f>
        <v>595202</v>
      </c>
      <c r="T57">
        <f ca="1">IF(AND(ISNUMBER($T$197),$B$145=1),$T$197,HLOOKUP(INDIRECT(ADDRESS(2,COLUMN())),OFFSET($BN$2,0,0,ROW()-1,60),ROW()-1,FALSE))</f>
        <v>573721</v>
      </c>
      <c r="U57">
        <f ca="1">IF(AND(ISNUMBER($U$197),$B$145=1),$U$197,HLOOKUP(INDIRECT(ADDRESS(2,COLUMN())),OFFSET($BN$2,0,0,ROW()-1,60),ROW()-1,FALSE))</f>
        <v>597488</v>
      </c>
      <c r="V57">
        <f ca="1">IF(AND(ISNUMBER($V$197),$B$145=1),$V$197,HLOOKUP(INDIRECT(ADDRESS(2,COLUMN())),OFFSET($BN$2,0,0,ROW()-1,60),ROW()-1,FALSE))</f>
        <v>590077</v>
      </c>
      <c r="W57">
        <f ca="1">IF(AND(ISNUMBER($W$197),$B$145=1),$W$197,HLOOKUP(INDIRECT(ADDRESS(2,COLUMN())),OFFSET($BN$2,0,0,ROW()-1,60),ROW()-1,FALSE))</f>
        <v>531256</v>
      </c>
      <c r="X57">
        <f ca="1">IF(AND(ISNUMBER($X$197),$B$145=1),$X$197,HLOOKUP(INDIRECT(ADDRESS(2,COLUMN())),OFFSET($BN$2,0,0,ROW()-1,60),ROW()-1,FALSE))</f>
        <v>558814</v>
      </c>
      <c r="Y57">
        <f ca="1">IF(AND(ISNUMBER($Y$197),$B$145=1),$Y$197,HLOOKUP(INDIRECT(ADDRESS(2,COLUMN())),OFFSET($BN$2,0,0,ROW()-1,60),ROW()-1,FALSE))</f>
        <v>471087</v>
      </c>
      <c r="Z57">
        <f ca="1">IF(AND(ISNUMBER($Z$197),$B$145=1),$Z$197,HLOOKUP(INDIRECT(ADDRESS(2,COLUMN())),OFFSET($BN$2,0,0,ROW()-1,60),ROW()-1,FALSE))</f>
        <v>398162</v>
      </c>
      <c r="AA57">
        <f ca="1">IF(AND(ISNUMBER($AA$197),$B$145=1),$AA$197,HLOOKUP(INDIRECT(ADDRESS(2,COLUMN())),OFFSET($BN$2,0,0,ROW()-1,60),ROW()-1,FALSE))</f>
        <v>394177</v>
      </c>
      <c r="AB57">
        <f ca="1">IF(AND(ISNUMBER($AB$197),$B$145=1),$AB$197,HLOOKUP(INDIRECT(ADDRESS(2,COLUMN())),OFFSET($BN$2,0,0,ROW()-1,60),ROW()-1,FALSE))</f>
        <v>307190</v>
      </c>
      <c r="AC57">
        <f ca="1">IF(AND(ISNUMBER($AC$197),$B$145=1),$AC$197,HLOOKUP(INDIRECT(ADDRESS(2,COLUMN())),OFFSET($BN$2,0,0,ROW()-1,60),ROW()-1,FALSE))</f>
        <v>267290</v>
      </c>
      <c r="AD57">
        <f ca="1">IF(AND(ISNUMBER($AD$197),$B$145=1),$AD$197,HLOOKUP(INDIRECT(ADDRESS(2,COLUMN())),OFFSET($BN$2,0,0,ROW()-1,60),ROW()-1,FALSE))</f>
        <v>261753</v>
      </c>
      <c r="AE57">
        <f ca="1">IF(AND(ISNUMBER($AE$197),$B$145=1),$AE$197,HLOOKUP(INDIRECT(ADDRESS(2,COLUMN())),OFFSET($BN$2,0,0,ROW()-1,60),ROW()-1,FALSE))</f>
        <v>231323</v>
      </c>
      <c r="AF57">
        <f ca="1">IF(AND(ISNUMBER($AF$197),$B$145=1),$AF$197,HLOOKUP(INDIRECT(ADDRESS(2,COLUMN())),OFFSET($BN$2,0,0,ROW()-1,60),ROW()-1,FALSE))</f>
        <v>232940</v>
      </c>
      <c r="AG57">
        <f ca="1">IF(AND(ISNUMBER($AG$197),$B$145=1),$AG$197,HLOOKUP(INDIRECT(ADDRESS(2,COLUMN())),OFFSET($BN$2,0,0,ROW()-1,60),ROW()-1,FALSE))</f>
        <v>238128</v>
      </c>
      <c r="AH57">
        <f ca="1">IF(AND(ISNUMBER($AH$197),$B$145=1),$AH$197,HLOOKUP(INDIRECT(ADDRESS(2,COLUMN())),OFFSET($BN$2,0,0,ROW()-1,60),ROW()-1,FALSE))</f>
        <v>249899</v>
      </c>
      <c r="AI57">
        <f ca="1">IF(AND(ISNUMBER($AI$197),$B$145=1),$AI$197,HLOOKUP(INDIRECT(ADDRESS(2,COLUMN())),OFFSET($BN$2,0,0,ROW()-1,60),ROW()-1,FALSE))</f>
        <v>263230</v>
      </c>
      <c r="AJ57">
        <f ca="1">IF(AND(ISNUMBER($AJ$197),$B$145=1),$AJ$197,HLOOKUP(INDIRECT(ADDRESS(2,COLUMN())),OFFSET($BN$2,0,0,ROW()-1,60),ROW()-1,FALSE))</f>
        <v>263401</v>
      </c>
      <c r="AK57">
        <f ca="1">IF(AND(ISNUMBER($AK$197),$B$145=1),$AK$197,HLOOKUP(INDIRECT(ADDRESS(2,COLUMN())),OFFSET($BN$2,0,0,ROW()-1,60),ROW()-1,FALSE))</f>
        <v>281792</v>
      </c>
      <c r="AL57">
        <f ca="1">IF(AND(ISNUMBER($AL$197),$B$145=1),$AL$197,HLOOKUP(INDIRECT(ADDRESS(2,COLUMN())),OFFSET($BN$2,0,0,ROW()-1,60),ROW()-1,FALSE))</f>
        <v>288953</v>
      </c>
      <c r="AM57">
        <f ca="1">IF(AND(ISNUMBER($AM$197),$B$145=1),$AM$197,HLOOKUP(INDIRECT(ADDRESS(2,COLUMN())),OFFSET($BN$2,0,0,ROW()-1,60),ROW()-1,FALSE))</f>
        <v>272293</v>
      </c>
      <c r="AN57">
        <f ca="1">IF(AND(ISNUMBER($AN$197),$B$145=1),$AN$197,HLOOKUP(INDIRECT(ADDRESS(2,COLUMN())),OFFSET($BN$2,0,0,ROW()-1,60),ROW()-1,FALSE))</f>
        <v>278504</v>
      </c>
      <c r="AO57">
        <f ca="1">IF(AND(ISNUMBER($AO$197),$B$145=1),$AO$197,HLOOKUP(INDIRECT(ADDRESS(2,COLUMN())),OFFSET($BN$2,0,0,ROW()-1,60),ROW()-1,FALSE))</f>
        <v>285270</v>
      </c>
      <c r="AP57">
        <f ca="1">IF(AND(ISNUMBER($AP$197),$B$145=1),$AP$197,HLOOKUP(INDIRECT(ADDRESS(2,COLUMN())),OFFSET($BN$2,0,0,ROW()-1,60),ROW()-1,FALSE))</f>
        <v>290544</v>
      </c>
      <c r="AQ57">
        <f ca="1">IF(AND(ISNUMBER($AQ$197),$B$145=1),$AQ$197,HLOOKUP(INDIRECT(ADDRESS(2,COLUMN())),OFFSET($BN$2,0,0,ROW()-1,60),ROW()-1,FALSE))</f>
        <v>306242</v>
      </c>
      <c r="AR57">
        <f ca="1">IF(AND(ISNUMBER($AR$197),$B$145=1),$AR$197,HLOOKUP(INDIRECT(ADDRESS(2,COLUMN())),OFFSET($BN$2,0,0,ROW()-1,60),ROW()-1,FALSE))</f>
        <v>317366</v>
      </c>
      <c r="AS57">
        <f ca="1">IF(AND(ISNUMBER($AS$197),$B$145=1),$AS$197,HLOOKUP(INDIRECT(ADDRESS(2,COLUMN())),OFFSET($BN$2,0,0,ROW()-1,60),ROW()-1,FALSE))</f>
        <v>330113</v>
      </c>
      <c r="AT57">
        <f ca="1">IF(AND(ISNUMBER($AT$197),$B$145=1),$AT$197,HLOOKUP(INDIRECT(ADDRESS(2,COLUMN())),OFFSET($BN$2,0,0,ROW()-1,60),ROW()-1,FALSE))</f>
        <v>346901</v>
      </c>
      <c r="AU57">
        <f ca="1">IF(AND(ISNUMBER($AU$197),$B$145=1),$AU$197,HLOOKUP(INDIRECT(ADDRESS(2,COLUMN())),OFFSET($BN$2,0,0,ROW()-1,60),ROW()-1,FALSE))</f>
        <v>365050</v>
      </c>
      <c r="AV57">
        <f ca="1">IF(AND(ISNUMBER($AV$197),$B$145=1),$AV$197,HLOOKUP(INDIRECT(ADDRESS(2,COLUMN())),OFFSET($BN$2,0,0,ROW()-1,60),ROW()-1,FALSE))</f>
        <v>360508</v>
      </c>
      <c r="AW57">
        <f ca="1">IF(AND(ISNUMBER($AW$197),$B$145=1),$AW$197,HLOOKUP(INDIRECT(ADDRESS(2,COLUMN())),OFFSET($BN$2,0,0,ROW()-1,60),ROW()-1,FALSE))</f>
        <v>350339</v>
      </c>
      <c r="AX57">
        <f ca="1">IF(AND(ISNUMBER($AX$197),$B$145=1),$AX$197,HLOOKUP(INDIRECT(ADDRESS(2,COLUMN())),OFFSET($BN$2,0,0,ROW()-1,60),ROW()-1,FALSE))</f>
        <v>352962</v>
      </c>
      <c r="AY57">
        <f ca="1">IF(AND(ISNUMBER($AY$197),$B$145=1),$AY$197,HLOOKUP(INDIRECT(ADDRESS(2,COLUMN())),OFFSET($BN$2,0,0,ROW()-1,60),ROW()-1,FALSE))</f>
        <v>355609</v>
      </c>
      <c r="AZ57">
        <f ca="1">IF(AND(ISNUMBER($AZ$197),$B$145=1),$AZ$197,HLOOKUP(INDIRECT(ADDRESS(2,COLUMN())),OFFSET($BN$2,0,0,ROW()-1,60),ROW()-1,FALSE))</f>
        <v>353137</v>
      </c>
      <c r="BA57">
        <f ca="1">IF(AND(ISNUMBER($BA$197),$B$145=1),$BA$197,HLOOKUP(INDIRECT(ADDRESS(2,COLUMN())),OFFSET($BN$2,0,0,ROW()-1,60),ROW()-1,FALSE))</f>
        <v>363365</v>
      </c>
      <c r="BB57">
        <f ca="1">IF(AND(ISNUMBER($BB$197),$B$145=1),$BB$197,HLOOKUP(INDIRECT(ADDRESS(2,COLUMN())),OFFSET($BN$2,0,0,ROW()-1,60),ROW()-1,FALSE))</f>
        <v>368369</v>
      </c>
      <c r="BC57">
        <f ca="1">IF(AND(ISNUMBER($BC$197),$B$145=1),$BC$197,HLOOKUP(INDIRECT(ADDRESS(2,COLUMN())),OFFSET($BN$2,0,0,ROW()-1,60),ROW()-1,FALSE))</f>
        <v>362367</v>
      </c>
      <c r="BD57">
        <f ca="1">IF(AND(ISNUMBER($BD$197),$B$145=1),$BD$197,HLOOKUP(INDIRECT(ADDRESS(2,COLUMN())),OFFSET($BN$2,0,0,ROW()-1,60),ROW()-1,FALSE))</f>
        <v>351602</v>
      </c>
      <c r="BE57">
        <f ca="1">IF(AND(ISNUMBER($BE$197),$B$145=1),$BE$197,HLOOKUP(INDIRECT(ADDRESS(2,COLUMN())),OFFSET($BN$2,0,0,ROW()-1,60),ROW()-1,FALSE))</f>
        <v>378698</v>
      </c>
      <c r="BF57">
        <f ca="1">IF(AND(ISNUMBER($BF$197),$B$145=1),$BF$197,HLOOKUP(INDIRECT(ADDRESS(2,COLUMN())),OFFSET($BN$2,0,0,ROW()-1,60),ROW()-1,FALSE))</f>
        <v>361776</v>
      </c>
      <c r="BG57">
        <f ca="1">IF(AND(ISNUMBER($BG$197),$B$145=1),$BG$197,HLOOKUP(INDIRECT(ADDRESS(2,COLUMN())),OFFSET($BN$2,0,0,ROW()-1,60),ROW()-1,FALSE))</f>
        <v>334376</v>
      </c>
      <c r="BH57">
        <f ca="1">IF(AND(ISNUMBER($BH$197),$B$145=1),$BH$197,HLOOKUP(INDIRECT(ADDRESS(2,COLUMN())),OFFSET($BN$2,0,0,ROW()-1,60),ROW()-1,FALSE))</f>
        <v>319880</v>
      </c>
      <c r="BI57">
        <f ca="1">IF(AND(ISNUMBER($BI$197),$B$145=1),$BI$197,HLOOKUP(INDIRECT(ADDRESS(2,COLUMN())),OFFSET($BN$2,0,0,ROW()-1,60),ROW()-1,FALSE))</f>
        <v>331311</v>
      </c>
      <c r="BJ57">
        <f ca="1">IF(AND(ISNUMBER($BJ$197),$B$145=1),$BJ$197,HLOOKUP(INDIRECT(ADDRESS(2,COLUMN())),OFFSET($BN$2,0,0,ROW()-1,60),ROW()-1,FALSE))</f>
        <v>312689</v>
      </c>
      <c r="BK57">
        <f ca="1">IF(AND(ISNUMBER($BK$197),$B$145=1),$BK$197,HLOOKUP(INDIRECT(ADDRESS(2,COLUMN())),OFFSET($BN$2,0,0,ROW()-1,60),ROW()-1,FALSE))</f>
        <v>337296</v>
      </c>
      <c r="BL57">
        <f ca="1">IF(AND(ISNUMBER($BL$197),$B$145=1),$BL$197,HLOOKUP(INDIRECT(ADDRESS(2,COLUMN())),OFFSET($BN$2,0,0,ROW()-1,60),ROW()-1,FALSE))</f>
        <v>309775</v>
      </c>
      <c r="BM57" t="str">
        <f ca="1">IF(AND(ISNUMBER($BM$197),$B$145=1),$BM$197,HLOOKUP(INDIRECT(ADDRESS(2,COLUMN())),OFFSET($BN$2,0,0,ROW()-1,60),ROW()-1,FALSE))</f>
        <v/>
      </c>
      <c r="BN57">
        <f>681423</f>
        <v>681423</v>
      </c>
      <c r="BO57">
        <f>634625</f>
        <v>634625</v>
      </c>
      <c r="BP57">
        <f>590123</f>
        <v>590123</v>
      </c>
      <c r="BQ57">
        <f>570799</f>
        <v>570799</v>
      </c>
      <c r="BR57">
        <f>571646</f>
        <v>571646</v>
      </c>
      <c r="BS57">
        <f>585467</f>
        <v>585467</v>
      </c>
      <c r="BT57">
        <f>612277</f>
        <v>612277</v>
      </c>
      <c r="BU57">
        <f>610136</f>
        <v>610136</v>
      </c>
      <c r="BV57">
        <f>631229</f>
        <v>631229</v>
      </c>
      <c r="BW57">
        <f>618297</f>
        <v>618297</v>
      </c>
      <c r="BX57">
        <f>663765</f>
        <v>663765</v>
      </c>
      <c r="BY57">
        <f>679499</f>
        <v>679499</v>
      </c>
      <c r="BZ57">
        <f>672271</f>
        <v>672271</v>
      </c>
      <c r="CA57">
        <f>595202</f>
        <v>595202</v>
      </c>
      <c r="CB57">
        <f>573721</f>
        <v>573721</v>
      </c>
      <c r="CC57">
        <f>597488</f>
        <v>597488</v>
      </c>
      <c r="CD57">
        <f>590077</f>
        <v>590077</v>
      </c>
      <c r="CE57">
        <f>531256</f>
        <v>531256</v>
      </c>
      <c r="CF57">
        <f>558814</f>
        <v>558814</v>
      </c>
      <c r="CG57">
        <f>471087</f>
        <v>471087</v>
      </c>
      <c r="CH57">
        <f>398162</f>
        <v>398162</v>
      </c>
      <c r="CI57">
        <f>394177</f>
        <v>394177</v>
      </c>
      <c r="CJ57">
        <f>307190</f>
        <v>307190</v>
      </c>
      <c r="CK57">
        <f>267290</f>
        <v>267290</v>
      </c>
      <c r="CL57">
        <f>261753</f>
        <v>261753</v>
      </c>
      <c r="CM57">
        <f>231323</f>
        <v>231323</v>
      </c>
      <c r="CN57">
        <f>232940</f>
        <v>232940</v>
      </c>
      <c r="CO57">
        <f>238128</f>
        <v>238128</v>
      </c>
      <c r="CP57">
        <f>249899</f>
        <v>249899</v>
      </c>
      <c r="CQ57">
        <f>263230</f>
        <v>263230</v>
      </c>
      <c r="CR57">
        <f>263401</f>
        <v>263401</v>
      </c>
      <c r="CS57">
        <f>281792</f>
        <v>281792</v>
      </c>
      <c r="CT57">
        <f>288953</f>
        <v>288953</v>
      </c>
      <c r="CU57">
        <f>272293</f>
        <v>272293</v>
      </c>
      <c r="CV57">
        <f>278504</f>
        <v>278504</v>
      </c>
      <c r="CW57">
        <f>285270</f>
        <v>285270</v>
      </c>
      <c r="CX57">
        <f>290544</f>
        <v>290544</v>
      </c>
      <c r="CY57">
        <f>306242</f>
        <v>306242</v>
      </c>
      <c r="CZ57">
        <f>317366</f>
        <v>317366</v>
      </c>
      <c r="DA57">
        <f>330113</f>
        <v>330113</v>
      </c>
      <c r="DB57">
        <f>346901</f>
        <v>346901</v>
      </c>
      <c r="DC57">
        <f>365050</f>
        <v>365050</v>
      </c>
      <c r="DD57">
        <f>360508</f>
        <v>360508</v>
      </c>
      <c r="DE57">
        <f>350339</f>
        <v>350339</v>
      </c>
      <c r="DF57">
        <f>352962</f>
        <v>352962</v>
      </c>
      <c r="DG57">
        <f>355609</f>
        <v>355609</v>
      </c>
      <c r="DH57">
        <f>353137</f>
        <v>353137</v>
      </c>
      <c r="DI57">
        <f>363365</f>
        <v>363365</v>
      </c>
      <c r="DJ57">
        <f>368369</f>
        <v>368369</v>
      </c>
      <c r="DK57">
        <f>362367</f>
        <v>362367</v>
      </c>
      <c r="DL57">
        <f>351602</f>
        <v>351602</v>
      </c>
      <c r="DM57">
        <f>378698</f>
        <v>378698</v>
      </c>
      <c r="DN57">
        <f>361776</f>
        <v>361776</v>
      </c>
      <c r="DO57">
        <f>334376</f>
        <v>334376</v>
      </c>
      <c r="DP57">
        <f>319880</f>
        <v>319880</v>
      </c>
      <c r="DQ57">
        <f>331311</f>
        <v>331311</v>
      </c>
      <c r="DR57">
        <f>312689</f>
        <v>312689</v>
      </c>
      <c r="DS57">
        <f>337296</f>
        <v>337296</v>
      </c>
      <c r="DT57">
        <f>309775</f>
        <v>309775</v>
      </c>
      <c r="DU57" t="str">
        <f>""</f>
        <v/>
      </c>
    </row>
    <row r="58" spans="1:125" x14ac:dyDescent="0.25">
      <c r="A58" t="str">
        <f>"                KeyCorp"</f>
        <v xml:space="preserve">                KeyCorp</v>
      </c>
      <c r="B58" t="str">
        <f>"KEY US Equity"</f>
        <v>KEY US Equity</v>
      </c>
      <c r="C58" t="str">
        <f t="shared" si="6"/>
        <v>FC023</v>
      </c>
      <c r="D58" t="str">
        <f t="shared" si="7"/>
        <v>FDIC_TOTAL_SECURITIES</v>
      </c>
      <c r="E58" t="str">
        <f t="shared" si="8"/>
        <v>Dynamic</v>
      </c>
      <c r="F58">
        <f ca="1">IF(AND(ISNUMBER($F$198),$B$145=1),$F$198,HLOOKUP(INDIRECT(ADDRESS(2,COLUMN())),OFFSET($BN$2,0,0,ROW()-1,60),ROW()-1,FALSE))</f>
        <v>45101.68</v>
      </c>
      <c r="G58">
        <f ca="1">IF(AND(ISNUMBER($G$198),$B$145=1),$G$198,HLOOKUP(INDIRECT(ADDRESS(2,COLUMN())),OFFSET($BN$2,0,0,ROW()-1,60),ROW()-1,FALSE))</f>
        <v>41871.544000000002</v>
      </c>
      <c r="H58">
        <f ca="1">IF(AND(ISNUMBER($H$198),$B$145=1),$H$198,HLOOKUP(INDIRECT(ADDRESS(2,COLUMN())),OFFSET($BN$2,0,0,ROW()-1,60),ROW()-1,FALSE))</f>
        <v>45427.466999999997</v>
      </c>
      <c r="I58">
        <f ca="1">IF(AND(ISNUMBER($I$198),$B$145=1),$I$198,HLOOKUP(INDIRECT(ADDRESS(2,COLUMN())),OFFSET($BN$2,0,0,ROW()-1,60),ROW()-1,FALSE))</f>
        <v>45569.334000000003</v>
      </c>
      <c r="J58">
        <f ca="1">IF(AND(ISNUMBER($J$198),$B$145=1),$J$198,HLOOKUP(INDIRECT(ADDRESS(2,COLUMN())),OFFSET($BN$2,0,0,ROW()-1,60),ROW()-1,FALSE))</f>
        <v>45760.749000000003</v>
      </c>
      <c r="K58">
        <f ca="1">IF(AND(ISNUMBER($K$198),$B$145=1),$K$198,HLOOKUP(INDIRECT(ADDRESS(2,COLUMN())),OFFSET($BN$2,0,0,ROW()-1,60),ROW()-1,FALSE))</f>
        <v>44692.523000000001</v>
      </c>
      <c r="L58">
        <f ca="1">IF(AND(ISNUMBER($L$198),$B$145=1),$L$198,HLOOKUP(INDIRECT(ADDRESS(2,COLUMN())),OFFSET($BN$2,0,0,ROW()-1,60),ROW()-1,FALSE))</f>
        <v>47096.156999999999</v>
      </c>
      <c r="M58">
        <f ca="1">IF(AND(ISNUMBER($M$198),$B$145=1),$M$198,HLOOKUP(INDIRECT(ADDRESS(2,COLUMN())),OFFSET($BN$2,0,0,ROW()-1,60),ROW()-1,FALSE))</f>
        <v>49058.483999999997</v>
      </c>
      <c r="N58">
        <f ca="1">IF(AND(ISNUMBER($N$198),$B$145=1),$N$198,HLOOKUP(INDIRECT(ADDRESS(2,COLUMN())),OFFSET($BN$2,0,0,ROW()-1,60),ROW()-1,FALSE))</f>
        <v>47826.631000000001</v>
      </c>
      <c r="O58">
        <f ca="1">IF(AND(ISNUMBER($O$198),$B$145=1),$O$198,HLOOKUP(INDIRECT(ADDRESS(2,COLUMN())),OFFSET($BN$2,0,0,ROW()-1,60),ROW()-1,FALSE))</f>
        <v>48163.311999999998</v>
      </c>
      <c r="P58">
        <f ca="1">IF(AND(ISNUMBER($P$198),$B$145=1),$P$198,HLOOKUP(INDIRECT(ADDRESS(2,COLUMN())),OFFSET($BN$2,0,0,ROW()-1,60),ROW()-1,FALSE))</f>
        <v>50622.451999999997</v>
      </c>
      <c r="Q58">
        <f ca="1">IF(AND(ISNUMBER($Q$198),$B$145=1),$Q$198,HLOOKUP(INDIRECT(ADDRESS(2,COLUMN())),OFFSET($BN$2,0,0,ROW()-1,60),ROW()-1,FALSE))</f>
        <v>50552.61</v>
      </c>
      <c r="R58">
        <f ca="1">IF(AND(ISNUMBER($R$198),$B$145=1),$R$198,HLOOKUP(INDIRECT(ADDRESS(2,COLUMN())),OFFSET($BN$2,0,0,ROW()-1,60),ROW()-1,FALSE))</f>
        <v>52903.764000000003</v>
      </c>
      <c r="S58">
        <f ca="1">IF(AND(ISNUMBER($S$198),$B$145=1),$S$198,HLOOKUP(INDIRECT(ADDRESS(2,COLUMN())),OFFSET($BN$2,0,0,ROW()-1,60),ROW()-1,FALSE))</f>
        <v>49016.684000000001</v>
      </c>
      <c r="T58">
        <f ca="1">IF(AND(ISNUMBER($T$198),$B$145=1),$T$198,HLOOKUP(INDIRECT(ADDRESS(2,COLUMN())),OFFSET($BN$2,0,0,ROW()-1,60),ROW()-1,FALSE))</f>
        <v>40813.052000000003</v>
      </c>
      <c r="U58">
        <f ca="1">IF(AND(ISNUMBER($U$198),$B$145=1),$U$198,HLOOKUP(INDIRECT(ADDRESS(2,COLUMN())),OFFSET($BN$2,0,0,ROW()-1,60),ROW()-1,FALSE))</f>
        <v>40779.788</v>
      </c>
      <c r="V58">
        <f ca="1">IF(AND(ISNUMBER($V$198),$B$145=1),$V$198,HLOOKUP(INDIRECT(ADDRESS(2,COLUMN())),OFFSET($BN$2,0,0,ROW()-1,60),ROW()-1,FALSE))</f>
        <v>35151.462</v>
      </c>
      <c r="W58">
        <f ca="1">IF(AND(ISNUMBER($W$198),$B$145=1),$W$198,HLOOKUP(INDIRECT(ADDRESS(2,COLUMN())),OFFSET($BN$2,0,0,ROW()-1,60),ROW()-1,FALSE))</f>
        <v>36279.428</v>
      </c>
      <c r="X58">
        <f ca="1">IF(AND(ISNUMBER($X$198),$B$145=1),$X$198,HLOOKUP(INDIRECT(ADDRESS(2,COLUMN())),OFFSET($BN$2,0,0,ROW()-1,60),ROW()-1,FALSE))</f>
        <v>32675.236000000001</v>
      </c>
      <c r="Y58">
        <f ca="1">IF(AND(ISNUMBER($Y$198),$B$145=1),$Y$198,HLOOKUP(INDIRECT(ADDRESS(2,COLUMN())),OFFSET($BN$2,0,0,ROW()-1,60),ROW()-1,FALSE))</f>
        <v>30445.383999999998</v>
      </c>
      <c r="Z58">
        <f ca="1">IF(AND(ISNUMBER($Z$198),$B$145=1),$Z$198,HLOOKUP(INDIRECT(ADDRESS(2,COLUMN())),OFFSET($BN$2,0,0,ROW()-1,60),ROW()-1,FALSE))</f>
        <v>31909.654999999999</v>
      </c>
      <c r="AA58">
        <f ca="1">IF(AND(ISNUMBER($AA$198),$B$145=1),$AA$198,HLOOKUP(INDIRECT(ADDRESS(2,COLUMN())),OFFSET($BN$2,0,0,ROW()-1,60),ROW()-1,FALSE))</f>
        <v>32867.71</v>
      </c>
      <c r="AB58">
        <f ca="1">IF(AND(ISNUMBER($AB$198),$B$145=1),$AB$198,HLOOKUP(INDIRECT(ADDRESS(2,COLUMN())),OFFSET($BN$2,0,0,ROW()-1,60),ROW()-1,FALSE))</f>
        <v>32406.241999999998</v>
      </c>
      <c r="AC58">
        <f ca="1">IF(AND(ISNUMBER($AC$198),$B$145=1),$AC$198,HLOOKUP(INDIRECT(ADDRESS(2,COLUMN())),OFFSET($BN$2,0,0,ROW()-1,60),ROW()-1,FALSE))</f>
        <v>32087.847000000002</v>
      </c>
      <c r="AD58">
        <f ca="1">IF(AND(ISNUMBER($AD$198),$B$145=1),$AD$198,HLOOKUP(INDIRECT(ADDRESS(2,COLUMN())),OFFSET($BN$2,0,0,ROW()-1,60),ROW()-1,FALSE))</f>
        <v>30946.788</v>
      </c>
      <c r="AE58">
        <f ca="1">IF(AND(ISNUMBER($AE$198),$B$145=1),$AE$198,HLOOKUP(INDIRECT(ADDRESS(2,COLUMN())),OFFSET($BN$2,0,0,ROW()-1,60),ROW()-1,FALSE))</f>
        <v>30211.076000000001</v>
      </c>
      <c r="AF58">
        <f ca="1">IF(AND(ISNUMBER($AF$198),$B$145=1),$AF$198,HLOOKUP(INDIRECT(ADDRESS(2,COLUMN())),OFFSET($BN$2,0,0,ROW()-1,60),ROW()-1,FALSE))</f>
        <v>29644.917000000001</v>
      </c>
      <c r="AG58">
        <f ca="1">IF(AND(ISNUMBER($AG$198),$B$145=1),$AG$198,HLOOKUP(INDIRECT(ADDRESS(2,COLUMN())),OFFSET($BN$2,0,0,ROW()-1,60),ROW()-1,FALSE))</f>
        <v>30078.173999999999</v>
      </c>
      <c r="AH58">
        <f ca="1">IF(AND(ISNUMBER($AH$198),$B$145=1),$AH$198,HLOOKUP(INDIRECT(ADDRESS(2,COLUMN())),OFFSET($BN$2,0,0,ROW()-1,60),ROW()-1,FALSE))</f>
        <v>29970.674999999999</v>
      </c>
      <c r="AI58">
        <f ca="1">IF(AND(ISNUMBER($AI$198),$B$145=1),$AI$198,HLOOKUP(INDIRECT(ADDRESS(2,COLUMN())),OFFSET($BN$2,0,0,ROW()-1,60),ROW()-1,FALSE))</f>
        <v>29288.106</v>
      </c>
      <c r="AJ58">
        <f ca="1">IF(AND(ISNUMBER($AJ$198),$B$145=1),$AJ$198,HLOOKUP(INDIRECT(ADDRESS(2,COLUMN())),OFFSET($BN$2,0,0,ROW()-1,60),ROW()-1,FALSE))</f>
        <v>28662.569</v>
      </c>
      <c r="AK58">
        <f ca="1">IF(AND(ISNUMBER($AK$198),$B$145=1),$AK$198,HLOOKUP(INDIRECT(ADDRESS(2,COLUMN())),OFFSET($BN$2,0,0,ROW()-1,60),ROW()-1,FALSE))</f>
        <v>28618.417000000001</v>
      </c>
      <c r="AL58">
        <f ca="1">IF(AND(ISNUMBER($AL$198),$B$145=1),$AL$198,HLOOKUP(INDIRECT(ADDRESS(2,COLUMN())),OFFSET($BN$2,0,0,ROW()-1,60),ROW()-1,FALSE))</f>
        <v>30444.294000000002</v>
      </c>
      <c r="AM58">
        <f ca="1">IF(AND(ISNUMBER($AM$198),$B$145=1),$AM$198,HLOOKUP(INDIRECT(ADDRESS(2,COLUMN())),OFFSET($BN$2,0,0,ROW()-1,60),ROW()-1,FALSE))</f>
        <v>29535.811000000002</v>
      </c>
      <c r="AN58">
        <f ca="1">IF(AND(ISNUMBER($AN$198),$B$145=1),$AN$198,HLOOKUP(INDIRECT(ADDRESS(2,COLUMN())),OFFSET($BN$2,0,0,ROW()-1,60),ROW()-1,FALSE))</f>
        <v>19384.282999999999</v>
      </c>
      <c r="AO58">
        <f ca="1">IF(AND(ISNUMBER($AO$198),$B$145=1),$AO$198,HLOOKUP(INDIRECT(ADDRESS(2,COLUMN())),OFFSET($BN$2,0,0,ROW()-1,60),ROW()-1,FALSE))</f>
        <v>19307.97</v>
      </c>
      <c r="AP58">
        <f ca="1">IF(AND(ISNUMBER($AP$198),$B$145=1),$AP$198,HLOOKUP(INDIRECT(ADDRESS(2,COLUMN())),OFFSET($BN$2,0,0,ROW()-1,60),ROW()-1,FALSE))</f>
        <v>19115.95</v>
      </c>
      <c r="AQ58">
        <f ca="1">IF(AND(ISNUMBER($AQ$198),$B$145=1),$AQ$198,HLOOKUP(INDIRECT(ADDRESS(2,COLUMN())),OFFSET($BN$2,0,0,ROW()-1,60),ROW()-1,FALSE))</f>
        <v>19312.883000000002</v>
      </c>
      <c r="AR58">
        <f ca="1">IF(AND(ISNUMBER($AR$198),$B$145=1),$AR$198,HLOOKUP(INDIRECT(ADDRESS(2,COLUMN())),OFFSET($BN$2,0,0,ROW()-1,60),ROW()-1,FALSE))</f>
        <v>19266.821</v>
      </c>
      <c r="AS58">
        <f ca="1">IF(AND(ISNUMBER($AS$198),$B$145=1),$AS$198,HLOOKUP(INDIRECT(ADDRESS(2,COLUMN())),OFFSET($BN$2,0,0,ROW()-1,60),ROW()-1,FALSE))</f>
        <v>18125.915000000001</v>
      </c>
      <c r="AT58">
        <f ca="1">IF(AND(ISNUMBER($AT$198),$B$145=1),$AT$198,HLOOKUP(INDIRECT(ADDRESS(2,COLUMN())),OFFSET($BN$2,0,0,ROW()-1,60),ROW()-1,FALSE))</f>
        <v>18375.580999999998</v>
      </c>
      <c r="AU58">
        <f ca="1">IF(AND(ISNUMBER($AU$198),$B$145=1),$AU$198,HLOOKUP(INDIRECT(ADDRESS(2,COLUMN())),OFFSET($BN$2,0,0,ROW()-1,60),ROW()-1,FALSE))</f>
        <v>17242.618999999999</v>
      </c>
      <c r="AV58">
        <f ca="1">IF(AND(ISNUMBER($AV$198),$B$145=1),$AV$198,HLOOKUP(INDIRECT(ADDRESS(2,COLUMN())),OFFSET($BN$2,0,0,ROW()-1,60),ROW()-1,FALSE))</f>
        <v>17457.010999999999</v>
      </c>
      <c r="AW58">
        <f ca="1">IF(AND(ISNUMBER($AW$198),$B$145=1),$AW$198,HLOOKUP(INDIRECT(ADDRESS(2,COLUMN())),OFFSET($BN$2,0,0,ROW()-1,60),ROW()-1,FALSE))</f>
        <v>17184.407999999999</v>
      </c>
      <c r="AX58">
        <f ca="1">IF(AND(ISNUMBER($AX$198),$B$145=1),$AX$198,HLOOKUP(INDIRECT(ADDRESS(2,COLUMN())),OFFSET($BN$2,0,0,ROW()-1,60),ROW()-1,FALSE))</f>
        <v>17102.199000000001</v>
      </c>
      <c r="AY58">
        <f ca="1">IF(AND(ISNUMBER($AY$198),$B$145=1),$AY$198,HLOOKUP(INDIRECT(ADDRESS(2,COLUMN())),OFFSET($BN$2,0,0,ROW()-1,60),ROW()-1,FALSE))</f>
        <v>17441.260999999999</v>
      </c>
      <c r="AZ58">
        <f ca="1">IF(AND(ISNUMBER($AZ$198),$B$145=1),$AZ$198,HLOOKUP(INDIRECT(ADDRESS(2,COLUMN())),OFFSET($BN$2,0,0,ROW()-1,60),ROW()-1,FALSE))</f>
        <v>18002.858</v>
      </c>
      <c r="BA58">
        <f ca="1">IF(AND(ISNUMBER($BA$198),$B$145=1),$BA$198,HLOOKUP(INDIRECT(ADDRESS(2,COLUMN())),OFFSET($BN$2,0,0,ROW()-1,60),ROW()-1,FALSE))</f>
        <v>17217.502</v>
      </c>
      <c r="BB58">
        <f ca="1">IF(AND(ISNUMBER($BB$198),$B$145=1),$BB$198,HLOOKUP(INDIRECT(ADDRESS(2,COLUMN())),OFFSET($BN$2,0,0,ROW()-1,60),ROW()-1,FALSE))</f>
        <v>16025.14</v>
      </c>
      <c r="BC58">
        <f ca="1">IF(AND(ISNUMBER($BC$198),$B$145=1),$BC$198,HLOOKUP(INDIRECT(ADDRESS(2,COLUMN())),OFFSET($BN$2,0,0,ROW()-1,60),ROW()-1,FALSE))</f>
        <v>16114.743</v>
      </c>
      <c r="BD58">
        <f ca="1">IF(AND(ISNUMBER($BD$198),$B$145=1),$BD$198,HLOOKUP(INDIRECT(ADDRESS(2,COLUMN())),OFFSET($BN$2,0,0,ROW()-1,60),ROW()-1,FALSE))</f>
        <v>17557.204000000002</v>
      </c>
      <c r="BE58">
        <f ca="1">IF(AND(ISNUMBER($BE$198),$B$145=1),$BE$198,HLOOKUP(INDIRECT(ADDRESS(2,COLUMN())),OFFSET($BN$2,0,0,ROW()-1,60),ROW()-1,FALSE))</f>
        <v>17651.486000000001</v>
      </c>
      <c r="BF58">
        <f ca="1">IF(AND(ISNUMBER($BF$198),$B$145=1),$BF$198,HLOOKUP(INDIRECT(ADDRESS(2,COLUMN())),OFFSET($BN$2,0,0,ROW()-1,60),ROW()-1,FALSE))</f>
        <v>18121.199000000001</v>
      </c>
      <c r="BG58">
        <f ca="1">IF(AND(ISNUMBER($BG$198),$B$145=1),$BG$198,HLOOKUP(INDIRECT(ADDRESS(2,COLUMN())),OFFSET($BN$2,0,0,ROW()-1,60),ROW()-1,FALSE))</f>
        <v>18787.642</v>
      </c>
      <c r="BH58">
        <f ca="1">IF(AND(ISNUMBER($BH$198),$B$145=1),$BH$198,HLOOKUP(INDIRECT(ADDRESS(2,COLUMN())),OFFSET($BN$2,0,0,ROW()-1,60),ROW()-1,FALSE))</f>
        <v>18698.998</v>
      </c>
      <c r="BI58">
        <f ca="1">IF(AND(ISNUMBER($BI$198),$B$145=1),$BI$198,HLOOKUP(INDIRECT(ADDRESS(2,COLUMN())),OFFSET($BN$2,0,0,ROW()-1,60),ROW()-1,FALSE))</f>
        <v>19466.971000000001</v>
      </c>
      <c r="BJ58">
        <f ca="1">IF(AND(ISNUMBER($BJ$198),$B$145=1),$BJ$198,HLOOKUP(INDIRECT(ADDRESS(2,COLUMN())),OFFSET($BN$2,0,0,ROW()-1,60),ROW()-1,FALSE))</f>
        <v>21949.793000000001</v>
      </c>
      <c r="BK58">
        <f ca="1">IF(AND(ISNUMBER($BK$198),$B$145=1),$BK$198,HLOOKUP(INDIRECT(ADDRESS(2,COLUMN())),OFFSET($BN$2,0,0,ROW()-1,60),ROW()-1,FALSE))</f>
        <v>21259.007000000001</v>
      </c>
      <c r="BL58">
        <f ca="1">IF(AND(ISNUMBER($BL$198),$B$145=1),$BL$198,HLOOKUP(INDIRECT(ADDRESS(2,COLUMN())),OFFSET($BN$2,0,0,ROW()-1,60),ROW()-1,FALSE))</f>
        <v>19791.434000000001</v>
      </c>
      <c r="BM58" t="str">
        <f ca="1">IF(AND(ISNUMBER($BM$198),$B$145=1),$BM$198,HLOOKUP(INDIRECT(ADDRESS(2,COLUMN())),OFFSET($BN$2,0,0,ROW()-1,60),ROW()-1,FALSE))</f>
        <v/>
      </c>
      <c r="BN58">
        <f>45101.68</f>
        <v>45101.68</v>
      </c>
      <c r="BO58">
        <f>41871.544</f>
        <v>41871.544000000002</v>
      </c>
      <c r="BP58">
        <f>45427.467</f>
        <v>45427.466999999997</v>
      </c>
      <c r="BQ58">
        <f>45569.334</f>
        <v>45569.334000000003</v>
      </c>
      <c r="BR58">
        <f>45760.749</f>
        <v>45760.749000000003</v>
      </c>
      <c r="BS58">
        <f>44692.523</f>
        <v>44692.523000000001</v>
      </c>
      <c r="BT58">
        <f>47096.157</f>
        <v>47096.156999999999</v>
      </c>
      <c r="BU58">
        <f>49058.484</f>
        <v>49058.483999999997</v>
      </c>
      <c r="BV58">
        <f>47826.631</f>
        <v>47826.631000000001</v>
      </c>
      <c r="BW58">
        <f>48163.312</f>
        <v>48163.311999999998</v>
      </c>
      <c r="BX58">
        <f>50622.452</f>
        <v>50622.451999999997</v>
      </c>
      <c r="BY58">
        <f>50552.61</f>
        <v>50552.61</v>
      </c>
      <c r="BZ58">
        <f>52903.764</f>
        <v>52903.764000000003</v>
      </c>
      <c r="CA58">
        <f>49016.684</f>
        <v>49016.684000000001</v>
      </c>
      <c r="CB58">
        <f>40813.052</f>
        <v>40813.052000000003</v>
      </c>
      <c r="CC58">
        <f>40779.788</f>
        <v>40779.788</v>
      </c>
      <c r="CD58">
        <f>35151.462</f>
        <v>35151.462</v>
      </c>
      <c r="CE58">
        <f>36279.428</f>
        <v>36279.428</v>
      </c>
      <c r="CF58">
        <f>32675.236</f>
        <v>32675.236000000001</v>
      </c>
      <c r="CG58">
        <f>30445.384</f>
        <v>30445.383999999998</v>
      </c>
      <c r="CH58">
        <f>31909.655</f>
        <v>31909.654999999999</v>
      </c>
      <c r="CI58">
        <f>32867.71</f>
        <v>32867.71</v>
      </c>
      <c r="CJ58">
        <f>32406.242</f>
        <v>32406.241999999998</v>
      </c>
      <c r="CK58">
        <f>32087.847</f>
        <v>32087.847000000002</v>
      </c>
      <c r="CL58">
        <f>30946.788</f>
        <v>30946.788</v>
      </c>
      <c r="CM58">
        <f>30211.076</f>
        <v>30211.076000000001</v>
      </c>
      <c r="CN58">
        <f>29644.917</f>
        <v>29644.917000000001</v>
      </c>
      <c r="CO58">
        <f>30078.174</f>
        <v>30078.173999999999</v>
      </c>
      <c r="CP58">
        <f>29970.675</f>
        <v>29970.674999999999</v>
      </c>
      <c r="CQ58">
        <f>29288.106</f>
        <v>29288.106</v>
      </c>
      <c r="CR58">
        <f>28662.569</f>
        <v>28662.569</v>
      </c>
      <c r="CS58">
        <f>28618.417</f>
        <v>28618.417000000001</v>
      </c>
      <c r="CT58">
        <f>30444.294</f>
        <v>30444.294000000002</v>
      </c>
      <c r="CU58">
        <f>29535.811</f>
        <v>29535.811000000002</v>
      </c>
      <c r="CV58">
        <f>19384.283</f>
        <v>19384.282999999999</v>
      </c>
      <c r="CW58">
        <f>19307.97</f>
        <v>19307.97</v>
      </c>
      <c r="CX58">
        <f>19115.95</f>
        <v>19115.95</v>
      </c>
      <c r="CY58">
        <f>19312.883</f>
        <v>19312.883000000002</v>
      </c>
      <c r="CZ58">
        <f>19266.821</f>
        <v>19266.821</v>
      </c>
      <c r="DA58">
        <f>18125.915</f>
        <v>18125.915000000001</v>
      </c>
      <c r="DB58">
        <f>18375.581</f>
        <v>18375.580999999998</v>
      </c>
      <c r="DC58">
        <f>17242.619</f>
        <v>17242.618999999999</v>
      </c>
      <c r="DD58">
        <f>17457.011</f>
        <v>17457.010999999999</v>
      </c>
      <c r="DE58">
        <f>17184.408</f>
        <v>17184.407999999999</v>
      </c>
      <c r="DF58">
        <f>17102.199</f>
        <v>17102.199000000001</v>
      </c>
      <c r="DG58">
        <f>17441.261</f>
        <v>17441.260999999999</v>
      </c>
      <c r="DH58">
        <f>18002.858</f>
        <v>18002.858</v>
      </c>
      <c r="DI58">
        <f>17217.502</f>
        <v>17217.502</v>
      </c>
      <c r="DJ58">
        <f>16025.14</f>
        <v>16025.14</v>
      </c>
      <c r="DK58">
        <f>16114.743</f>
        <v>16114.743</v>
      </c>
      <c r="DL58">
        <f>17557.204</f>
        <v>17557.204000000002</v>
      </c>
      <c r="DM58">
        <f>17651.486</f>
        <v>17651.486000000001</v>
      </c>
      <c r="DN58">
        <f>18121.199</f>
        <v>18121.199000000001</v>
      </c>
      <c r="DO58">
        <f>18787.642</f>
        <v>18787.642</v>
      </c>
      <c r="DP58">
        <f>18698.998</f>
        <v>18698.998</v>
      </c>
      <c r="DQ58">
        <f>19466.971</f>
        <v>19466.971000000001</v>
      </c>
      <c r="DR58">
        <f>21949.793</f>
        <v>21949.793000000001</v>
      </c>
      <c r="DS58">
        <f>21259.007</f>
        <v>21259.007000000001</v>
      </c>
      <c r="DT58">
        <f>19791.434</f>
        <v>19791.434000000001</v>
      </c>
      <c r="DU58" t="str">
        <f>""</f>
        <v/>
      </c>
    </row>
    <row r="59" spans="1:125" x14ac:dyDescent="0.25">
      <c r="A59" t="str">
        <f>"                M&amp;T Bank Corp"</f>
        <v xml:space="preserve">                M&amp;T Bank Corp</v>
      </c>
      <c r="B59" t="str">
        <f>"MTB US Equity"</f>
        <v>MTB US Equity</v>
      </c>
      <c r="C59" t="str">
        <f t="shared" si="6"/>
        <v>FC023</v>
      </c>
      <c r="D59" t="str">
        <f t="shared" si="7"/>
        <v>FDIC_TOTAL_SECURITIES</v>
      </c>
      <c r="E59" t="str">
        <f t="shared" si="8"/>
        <v>Dynamic</v>
      </c>
      <c r="F59">
        <f ca="1">IF(AND(ISNUMBER($F$199),$B$145=1),$F$199,HLOOKUP(INDIRECT(ADDRESS(2,COLUMN())),OFFSET($BN$2,0,0,ROW()-1,60),ROW()-1,FALSE))</f>
        <v>33046.788</v>
      </c>
      <c r="G59">
        <f ca="1">IF(AND(ISNUMBER($G$199),$B$145=1),$G$199,HLOOKUP(INDIRECT(ADDRESS(2,COLUMN())),OFFSET($BN$2,0,0,ROW()-1,60),ROW()-1,FALSE))</f>
        <v>31232.118999999999</v>
      </c>
      <c r="H59">
        <f ca="1">IF(AND(ISNUMBER($H$199),$B$145=1),$H$199,HLOOKUP(INDIRECT(ADDRESS(2,COLUMN())),OFFSET($BN$2,0,0,ROW()-1,60),ROW()-1,FALSE))</f>
        <v>28686.784</v>
      </c>
      <c r="I59">
        <f ca="1">IF(AND(ISNUMBER($I$199),$B$145=1),$I$199,HLOOKUP(INDIRECT(ADDRESS(2,COLUMN())),OFFSET($BN$2,0,0,ROW()-1,60),ROW()-1,FALSE))</f>
        <v>27213.850999999999</v>
      </c>
      <c r="J59">
        <f ca="1">IF(AND(ISNUMBER($J$199),$B$145=1),$J$199,HLOOKUP(INDIRECT(ADDRESS(2,COLUMN())),OFFSET($BN$2,0,0,ROW()-1,60),ROW()-1,FALSE))</f>
        <v>25772.161</v>
      </c>
      <c r="K59">
        <f ca="1">IF(AND(ISNUMBER($K$199),$B$145=1),$K$199,HLOOKUP(INDIRECT(ADDRESS(2,COLUMN())),OFFSET($BN$2,0,0,ROW()-1,60),ROW()-1,FALSE))</f>
        <v>26165.528999999999</v>
      </c>
      <c r="L59">
        <f ca="1">IF(AND(ISNUMBER($L$199),$B$145=1),$L$199,HLOOKUP(INDIRECT(ADDRESS(2,COLUMN())),OFFSET($BN$2,0,0,ROW()-1,60),ROW()-1,FALSE))</f>
        <v>26727.764999999999</v>
      </c>
      <c r="M59">
        <f ca="1">IF(AND(ISNUMBER($M$199),$B$145=1),$M$199,HLOOKUP(INDIRECT(ADDRESS(2,COLUMN())),OFFSET($BN$2,0,0,ROW()-1,60),ROW()-1,FALSE))</f>
        <v>27242.492999999999</v>
      </c>
      <c r="N59">
        <f ca="1">IF(AND(ISNUMBER($N$199),$B$145=1),$N$199,HLOOKUP(INDIRECT(ADDRESS(2,COLUMN())),OFFSET($BN$2,0,0,ROW()-1,60),ROW()-1,FALSE))</f>
        <v>24280.93</v>
      </c>
      <c r="O59">
        <f ca="1">IF(AND(ISNUMBER($O$199),$B$145=1),$O$199,HLOOKUP(INDIRECT(ADDRESS(2,COLUMN())),OFFSET($BN$2,0,0,ROW()-1,60),ROW()-1,FALSE))</f>
        <v>23771.207999999999</v>
      </c>
      <c r="P59">
        <f ca="1">IF(AND(ISNUMBER($P$199),$B$145=1),$P$199,HLOOKUP(INDIRECT(ADDRESS(2,COLUMN())),OFFSET($BN$2,0,0,ROW()-1,60),ROW()-1,FALSE))</f>
        <v>22080.126</v>
      </c>
      <c r="Q59">
        <f ca="1">IF(AND(ISNUMBER($Q$199),$B$145=1),$Q$199,HLOOKUP(INDIRECT(ADDRESS(2,COLUMN())),OFFSET($BN$2,0,0,ROW()-1,60),ROW()-1,FALSE))</f>
        <v>8885.8250000000007</v>
      </c>
      <c r="R59">
        <f ca="1">IF(AND(ISNUMBER($R$199),$B$145=1),$R$199,HLOOKUP(INDIRECT(ADDRESS(2,COLUMN())),OFFSET($BN$2,0,0,ROW()-1,60),ROW()-1,FALSE))</f>
        <v>6690.4780000000001</v>
      </c>
      <c r="S59">
        <f ca="1">IF(AND(ISNUMBER($S$199),$B$145=1),$S$199,HLOOKUP(INDIRECT(ADDRESS(2,COLUMN())),OFFSET($BN$2,0,0,ROW()-1,60),ROW()-1,FALSE))</f>
        <v>5977.8329999999996</v>
      </c>
      <c r="T59">
        <f ca="1">IF(AND(ISNUMBER($T$199),$B$145=1),$T$199,HLOOKUP(INDIRECT(ADDRESS(2,COLUMN())),OFFSET($BN$2,0,0,ROW()-1,60),ROW()-1,FALSE))</f>
        <v>5677.9809999999998</v>
      </c>
      <c r="U59">
        <f ca="1">IF(AND(ISNUMBER($U$199),$B$145=1),$U$199,HLOOKUP(INDIRECT(ADDRESS(2,COLUMN())),OFFSET($BN$2,0,0,ROW()-1,60),ROW()-1,FALSE))</f>
        <v>6142.5720000000001</v>
      </c>
      <c r="V59">
        <f ca="1">IF(AND(ISNUMBER($V$199),$B$145=1),$V$199,HLOOKUP(INDIRECT(ADDRESS(2,COLUMN())),OFFSET($BN$2,0,0,ROW()-1,60),ROW()-1,FALSE))</f>
        <v>6571.5950000000003</v>
      </c>
      <c r="W59">
        <f ca="1">IF(AND(ISNUMBER($W$199),$B$145=1),$W$199,HLOOKUP(INDIRECT(ADDRESS(2,COLUMN())),OFFSET($BN$2,0,0,ROW()-1,60),ROW()-1,FALSE))</f>
        <v>7241.0320000000002</v>
      </c>
      <c r="X59">
        <f ca="1">IF(AND(ISNUMBER($X$199),$B$145=1),$X$199,HLOOKUP(INDIRECT(ADDRESS(2,COLUMN())),OFFSET($BN$2,0,0,ROW()-1,60),ROW()-1,FALSE))</f>
        <v>7980.2560000000003</v>
      </c>
      <c r="Y59">
        <f ca="1">IF(AND(ISNUMBER($Y$199),$B$145=1),$Y$199,HLOOKUP(INDIRECT(ADDRESS(2,COLUMN())),OFFSET($BN$2,0,0,ROW()-1,60),ROW()-1,FALSE))</f>
        <v>8440.6209999999992</v>
      </c>
      <c r="Z59">
        <f ca="1">IF(AND(ISNUMBER($Z$199),$B$145=1),$Z$199,HLOOKUP(INDIRECT(ADDRESS(2,COLUMN())),OFFSET($BN$2,0,0,ROW()-1,60),ROW()-1,FALSE))</f>
        <v>8975.6929999999993</v>
      </c>
      <c r="AA59">
        <f ca="1">IF(AND(ISNUMBER($AA$199),$B$145=1),$AA$199,HLOOKUP(INDIRECT(ADDRESS(2,COLUMN())),OFFSET($BN$2,0,0,ROW()-1,60),ROW()-1,FALSE))</f>
        <v>10016.716</v>
      </c>
      <c r="AB59">
        <f ca="1">IF(AND(ISNUMBER($AB$199),$B$145=1),$AB$199,HLOOKUP(INDIRECT(ADDRESS(2,COLUMN())),OFFSET($BN$2,0,0,ROW()-1,60),ROW()-1,FALSE))</f>
        <v>10984.573</v>
      </c>
      <c r="AC59">
        <f ca="1">IF(AND(ISNUMBER($AC$199),$B$145=1),$AC$199,HLOOKUP(INDIRECT(ADDRESS(2,COLUMN())),OFFSET($BN$2,0,0,ROW()-1,60),ROW()-1,FALSE))</f>
        <v>12040.282999999999</v>
      </c>
      <c r="AD59">
        <f ca="1">IF(AND(ISNUMBER($AD$199),$B$145=1),$AD$199,HLOOKUP(INDIRECT(ADDRESS(2,COLUMN())),OFFSET($BN$2,0,0,ROW()-1,60),ROW()-1,FALSE))</f>
        <v>11999.148999999999</v>
      </c>
      <c r="AE59">
        <f ca="1">IF(AND(ISNUMBER($AE$199),$B$145=1),$AE$199,HLOOKUP(INDIRECT(ADDRESS(2,COLUMN())),OFFSET($BN$2,0,0,ROW()-1,60),ROW()-1,FALSE))</f>
        <v>12573.234</v>
      </c>
      <c r="AF59">
        <f ca="1">IF(AND(ISNUMBER($AF$199),$B$145=1),$AF$199,HLOOKUP(INDIRECT(ADDRESS(2,COLUMN())),OFFSET($BN$2,0,0,ROW()-1,60),ROW()-1,FALSE))</f>
        <v>12759.941000000001</v>
      </c>
      <c r="AG59">
        <f ca="1">IF(AND(ISNUMBER($AG$199),$B$145=1),$AG$199,HLOOKUP(INDIRECT(ADDRESS(2,COLUMN())),OFFSET($BN$2,0,0,ROW()-1,60),ROW()-1,FALSE))</f>
        <v>13526.611999999999</v>
      </c>
      <c r="AH59">
        <f ca="1">IF(AND(ISNUMBER($AH$199),$B$145=1),$AH$199,HLOOKUP(INDIRECT(ADDRESS(2,COLUMN())),OFFSET($BN$2,0,0,ROW()-1,60),ROW()-1,FALSE))</f>
        <v>14249.496999999999</v>
      </c>
      <c r="AI59">
        <f ca="1">IF(AND(ISNUMBER($AI$199),$B$145=1),$AI$199,HLOOKUP(INDIRECT(ADDRESS(2,COLUMN())),OFFSET($BN$2,0,0,ROW()-1,60),ROW()-1,FALSE))</f>
        <v>14658.210999999999</v>
      </c>
      <c r="AJ59">
        <f ca="1">IF(AND(ISNUMBER($AJ$199),$B$145=1),$AJ$199,HLOOKUP(INDIRECT(ADDRESS(2,COLUMN())),OFFSET($BN$2,0,0,ROW()-1,60),ROW()-1,FALSE))</f>
        <v>15316.383</v>
      </c>
      <c r="AK59">
        <f ca="1">IF(AND(ISNUMBER($AK$199),$B$145=1),$AK$199,HLOOKUP(INDIRECT(ADDRESS(2,COLUMN())),OFFSET($BN$2,0,0,ROW()-1,60),ROW()-1,FALSE))</f>
        <v>15506.337</v>
      </c>
      <c r="AL59">
        <f ca="1">IF(AND(ISNUMBER($AL$199),$B$145=1),$AL$199,HLOOKUP(INDIRECT(ADDRESS(2,COLUMN())),OFFSET($BN$2,0,0,ROW()-1,60),ROW()-1,FALSE))</f>
        <v>15788.643</v>
      </c>
      <c r="AM59">
        <f ca="1">IF(AND(ISNUMBER($AM$199),$B$145=1),$AM$199,HLOOKUP(INDIRECT(ADDRESS(2,COLUMN())),OFFSET($BN$2,0,0,ROW()-1,60),ROW()-1,FALSE))</f>
        <v>14271.812</v>
      </c>
      <c r="AN59">
        <f ca="1">IF(AND(ISNUMBER($AN$199),$B$145=1),$AN$199,HLOOKUP(INDIRECT(ADDRESS(2,COLUMN())),OFFSET($BN$2,0,0,ROW()-1,60),ROW()-1,FALSE))</f>
        <v>14492.683999999999</v>
      </c>
      <c r="AO59">
        <f ca="1">IF(AND(ISNUMBER($AO$199),$B$145=1),$AO$199,HLOOKUP(INDIRECT(ADDRESS(2,COLUMN())),OFFSET($BN$2,0,0,ROW()-1,60),ROW()-1,FALSE))</f>
        <v>14930.563</v>
      </c>
      <c r="AP59">
        <f ca="1">IF(AND(ISNUMBER($AP$199),$B$145=1),$AP$199,HLOOKUP(INDIRECT(ADDRESS(2,COLUMN())),OFFSET($BN$2,0,0,ROW()-1,60),ROW()-1,FALSE))</f>
        <v>15101.674000000001</v>
      </c>
      <c r="AQ59">
        <f ca="1">IF(AND(ISNUMBER($AQ$199),$B$145=1),$AQ$199,HLOOKUP(INDIRECT(ADDRESS(2,COLUMN())),OFFSET($BN$2,0,0,ROW()-1,60),ROW()-1,FALSE))</f>
        <v>14157.275</v>
      </c>
      <c r="AR59">
        <f ca="1">IF(AND(ISNUMBER($AR$199),$B$145=1),$AR$199,HLOOKUP(INDIRECT(ADDRESS(2,COLUMN())),OFFSET($BN$2,0,0,ROW()-1,60),ROW()-1,FALSE))</f>
        <v>14414.701999999999</v>
      </c>
      <c r="AS59">
        <f ca="1">IF(AND(ISNUMBER($AS$199),$B$145=1),$AS$199,HLOOKUP(INDIRECT(ADDRESS(2,COLUMN())),OFFSET($BN$2,0,0,ROW()-1,60),ROW()-1,FALSE))</f>
        <v>14063.803</v>
      </c>
      <c r="AT59">
        <f ca="1">IF(AND(ISNUMBER($AT$199),$B$145=1),$AT$199,HLOOKUP(INDIRECT(ADDRESS(2,COLUMN())),OFFSET($BN$2,0,0,ROW()-1,60),ROW()-1,FALSE))</f>
        <v>12664.25</v>
      </c>
      <c r="AU59">
        <f ca="1">IF(AND(ISNUMBER($AU$199),$B$145=1),$AU$199,HLOOKUP(INDIRECT(ADDRESS(2,COLUMN())),OFFSET($BN$2,0,0,ROW()-1,60),ROW()-1,FALSE))</f>
        <v>13019.302</v>
      </c>
      <c r="AV59">
        <f ca="1">IF(AND(ISNUMBER($AV$199),$B$145=1),$AV$199,HLOOKUP(INDIRECT(ADDRESS(2,COLUMN())),OFFSET($BN$2,0,0,ROW()-1,60),ROW()-1,FALSE))</f>
        <v>11768.924999999999</v>
      </c>
      <c r="AW59">
        <f ca="1">IF(AND(ISNUMBER($AW$199),$B$145=1),$AW$199,HLOOKUP(INDIRECT(ADDRESS(2,COLUMN())),OFFSET($BN$2,0,0,ROW()-1,60),ROW()-1,FALSE))</f>
        <v>10065.027</v>
      </c>
      <c r="AX59">
        <f ca="1">IF(AND(ISNUMBER($AX$199),$B$145=1),$AX$199,HLOOKUP(INDIRECT(ADDRESS(2,COLUMN())),OFFSET($BN$2,0,0,ROW()-1,60),ROW()-1,FALSE))</f>
        <v>8497.39</v>
      </c>
      <c r="AY59">
        <f ca="1">IF(AND(ISNUMBER($AY$199),$B$145=1),$AY$199,HLOOKUP(INDIRECT(ADDRESS(2,COLUMN())),OFFSET($BN$2,0,0,ROW()-1,60),ROW()-1,FALSE))</f>
        <v>8009.5450000000001</v>
      </c>
      <c r="AZ59">
        <f ca="1">IF(AND(ISNUMBER($AZ$199),$B$145=1),$AZ$199,HLOOKUP(INDIRECT(ADDRESS(2,COLUMN())),OFFSET($BN$2,0,0,ROW()-1,60),ROW()-1,FALSE))</f>
        <v>4903.0280000000002</v>
      </c>
      <c r="BA59">
        <f ca="1">IF(AND(ISNUMBER($BA$199),$B$145=1),$BA$199,HLOOKUP(INDIRECT(ADDRESS(2,COLUMN())),OFFSET($BN$2,0,0,ROW()-1,60),ROW()-1,FALSE))</f>
        <v>5358.1109999999999</v>
      </c>
      <c r="BB59">
        <f ca="1">IF(AND(ISNUMBER($BB$199),$B$145=1),$BB$199,HLOOKUP(INDIRECT(ADDRESS(2,COLUMN())),OFFSET($BN$2,0,0,ROW()-1,60),ROW()-1,FALSE))</f>
        <v>5769.9189999999999</v>
      </c>
      <c r="BC59">
        <f ca="1">IF(AND(ISNUMBER($BC$199),$B$145=1),$BC$199,HLOOKUP(INDIRECT(ADDRESS(2,COLUMN())),OFFSET($BN$2,0,0,ROW()-1,60),ROW()-1,FALSE))</f>
        <v>6303.3109999999997</v>
      </c>
      <c r="BD59">
        <f ca="1">IF(AND(ISNUMBER($BD$199),$B$145=1),$BD$199,HLOOKUP(INDIRECT(ADDRESS(2,COLUMN())),OFFSET($BN$2,0,0,ROW()-1,60),ROW()-1,FALSE))</f>
        <v>6720.4830000000002</v>
      </c>
      <c r="BE59">
        <f ca="1">IF(AND(ISNUMBER($BE$199),$B$145=1),$BE$199,HLOOKUP(INDIRECT(ADDRESS(2,COLUMN())),OFFSET($BN$2,0,0,ROW()-1,60),ROW()-1,FALSE))</f>
        <v>6836.3220000000001</v>
      </c>
      <c r="BF59">
        <f ca="1">IF(AND(ISNUMBER($BF$199),$B$145=1),$BF$199,HLOOKUP(INDIRECT(ADDRESS(2,COLUMN())),OFFSET($BN$2,0,0,ROW()-1,60),ROW()-1,FALSE))</f>
        <v>7304.299</v>
      </c>
      <c r="BG59">
        <f ca="1">IF(AND(ISNUMBER($BG$199),$B$145=1),$BG$199,HLOOKUP(INDIRECT(ADDRESS(2,COLUMN())),OFFSET($BN$2,0,0,ROW()-1,60),ROW()-1,FALSE))</f>
        <v>6795.3469999999998</v>
      </c>
      <c r="BH59">
        <f ca="1">IF(AND(ISNUMBER($BH$199),$B$145=1),$BH$199,HLOOKUP(INDIRECT(ADDRESS(2,COLUMN())),OFFSET($BN$2,0,0,ROW()-1,60),ROW()-1,FALSE))</f>
        <v>6107.6930000000002</v>
      </c>
      <c r="BI59">
        <f ca="1">IF(AND(ISNUMBER($BI$199),$B$145=1),$BI$199,HLOOKUP(INDIRECT(ADDRESS(2,COLUMN())),OFFSET($BN$2,0,0,ROW()-1,60),ROW()-1,FALSE))</f>
        <v>6115.1559999999999</v>
      </c>
      <c r="BJ59">
        <f ca="1">IF(AND(ISNUMBER($BJ$199),$B$145=1),$BJ$199,HLOOKUP(INDIRECT(ADDRESS(2,COLUMN())),OFFSET($BN$2,0,0,ROW()-1,60),ROW()-1,FALSE))</f>
        <v>6735.9080000000004</v>
      </c>
      <c r="BK59">
        <f ca="1">IF(AND(ISNUMBER($BK$199),$B$145=1),$BK$199,HLOOKUP(INDIRECT(ADDRESS(2,COLUMN())),OFFSET($BN$2,0,0,ROW()-1,60),ROW()-1,FALSE))</f>
        <v>7206.9309999999996</v>
      </c>
      <c r="BL59">
        <f ca="1">IF(AND(ISNUMBER($BL$199),$B$145=1),$BL$199,HLOOKUP(INDIRECT(ADDRESS(2,COLUMN())),OFFSET($BN$2,0,0,ROW()-1,60),ROW()-1,FALSE))</f>
        <v>7629.3490000000002</v>
      </c>
      <c r="BM59" t="str">
        <f ca="1">IF(AND(ISNUMBER($BM$199),$B$145=1),$BM$199,HLOOKUP(INDIRECT(ADDRESS(2,COLUMN())),OFFSET($BN$2,0,0,ROW()-1,60),ROW()-1,FALSE))</f>
        <v/>
      </c>
      <c r="BN59">
        <f>33046.788</f>
        <v>33046.788</v>
      </c>
      <c r="BO59">
        <f>31232.119</f>
        <v>31232.118999999999</v>
      </c>
      <c r="BP59">
        <f>28686.784</f>
        <v>28686.784</v>
      </c>
      <c r="BQ59">
        <f>27213.851</f>
        <v>27213.850999999999</v>
      </c>
      <c r="BR59">
        <f>25772.161</f>
        <v>25772.161</v>
      </c>
      <c r="BS59">
        <f>26165.529</f>
        <v>26165.528999999999</v>
      </c>
      <c r="BT59">
        <f>26727.765</f>
        <v>26727.764999999999</v>
      </c>
      <c r="BU59">
        <f>27242.493</f>
        <v>27242.492999999999</v>
      </c>
      <c r="BV59">
        <f>24280.93</f>
        <v>24280.93</v>
      </c>
      <c r="BW59">
        <f>23771.208</f>
        <v>23771.207999999999</v>
      </c>
      <c r="BX59">
        <f>22080.126</f>
        <v>22080.126</v>
      </c>
      <c r="BY59">
        <f>8885.825</f>
        <v>8885.8250000000007</v>
      </c>
      <c r="BZ59">
        <f>6690.478</f>
        <v>6690.4780000000001</v>
      </c>
      <c r="CA59">
        <f>5977.833</f>
        <v>5977.8329999999996</v>
      </c>
      <c r="CB59">
        <f>5677.981</f>
        <v>5677.9809999999998</v>
      </c>
      <c r="CC59">
        <f>6142.572</f>
        <v>6142.5720000000001</v>
      </c>
      <c r="CD59">
        <f>6571.595</f>
        <v>6571.5950000000003</v>
      </c>
      <c r="CE59">
        <f>7241.032</f>
        <v>7241.0320000000002</v>
      </c>
      <c r="CF59">
        <f>7980.256</f>
        <v>7980.2560000000003</v>
      </c>
      <c r="CG59">
        <f>8440.621</f>
        <v>8440.6209999999992</v>
      </c>
      <c r="CH59">
        <f>8975.693</f>
        <v>8975.6929999999993</v>
      </c>
      <c r="CI59">
        <f>10016.716</f>
        <v>10016.716</v>
      </c>
      <c r="CJ59">
        <f>10984.573</f>
        <v>10984.573</v>
      </c>
      <c r="CK59">
        <f>12040.283</f>
        <v>12040.282999999999</v>
      </c>
      <c r="CL59">
        <f>11999.149</f>
        <v>11999.148999999999</v>
      </c>
      <c r="CM59">
        <f>12573.234</f>
        <v>12573.234</v>
      </c>
      <c r="CN59">
        <f>12759.941</f>
        <v>12759.941000000001</v>
      </c>
      <c r="CO59">
        <f>13526.612</f>
        <v>13526.611999999999</v>
      </c>
      <c r="CP59">
        <f>14249.497</f>
        <v>14249.496999999999</v>
      </c>
      <c r="CQ59">
        <f>14658.211</f>
        <v>14658.210999999999</v>
      </c>
      <c r="CR59">
        <f>15316.383</f>
        <v>15316.383</v>
      </c>
      <c r="CS59">
        <f>15506.337</f>
        <v>15506.337</v>
      </c>
      <c r="CT59">
        <f>15788.643</f>
        <v>15788.643</v>
      </c>
      <c r="CU59">
        <f>14271.812</f>
        <v>14271.812</v>
      </c>
      <c r="CV59">
        <f>14492.684</f>
        <v>14492.683999999999</v>
      </c>
      <c r="CW59">
        <f>14930.563</f>
        <v>14930.563</v>
      </c>
      <c r="CX59">
        <f>15101.674</f>
        <v>15101.674000000001</v>
      </c>
      <c r="CY59">
        <f>14157.275</f>
        <v>14157.275</v>
      </c>
      <c r="CZ59">
        <f>14414.702</f>
        <v>14414.701999999999</v>
      </c>
      <c r="DA59">
        <f>14063.803</f>
        <v>14063.803</v>
      </c>
      <c r="DB59">
        <f>12664.25</f>
        <v>12664.25</v>
      </c>
      <c r="DC59">
        <f>13019.302</f>
        <v>13019.302</v>
      </c>
      <c r="DD59">
        <f>11768.925</f>
        <v>11768.924999999999</v>
      </c>
      <c r="DE59">
        <f>10065.027</f>
        <v>10065.027</v>
      </c>
      <c r="DF59">
        <f>8497.39</f>
        <v>8497.39</v>
      </c>
      <c r="DG59">
        <f>8009.545</f>
        <v>8009.5450000000001</v>
      </c>
      <c r="DH59">
        <f>4903.028</f>
        <v>4903.0280000000002</v>
      </c>
      <c r="DI59">
        <f>5358.111</f>
        <v>5358.1109999999999</v>
      </c>
      <c r="DJ59">
        <f>5769.919</f>
        <v>5769.9189999999999</v>
      </c>
      <c r="DK59">
        <f>6303.311</f>
        <v>6303.3109999999997</v>
      </c>
      <c r="DL59">
        <f>6720.483</f>
        <v>6720.4830000000002</v>
      </c>
      <c r="DM59">
        <f>6836.322</f>
        <v>6836.3220000000001</v>
      </c>
      <c r="DN59">
        <f>7304.299</f>
        <v>7304.299</v>
      </c>
      <c r="DO59">
        <f>6795.347</f>
        <v>6795.3469999999998</v>
      </c>
      <c r="DP59">
        <f>6107.693</f>
        <v>6107.6930000000002</v>
      </c>
      <c r="DQ59">
        <f>6115.156</f>
        <v>6115.1559999999999</v>
      </c>
      <c r="DR59">
        <f>6735.908</f>
        <v>6735.9080000000004</v>
      </c>
      <c r="DS59">
        <f>7206.931</f>
        <v>7206.9309999999996</v>
      </c>
      <c r="DT59">
        <f>7629.349</f>
        <v>7629.3490000000002</v>
      </c>
      <c r="DU59" t="str">
        <f>""</f>
        <v/>
      </c>
    </row>
    <row r="60" spans="1:125" x14ac:dyDescent="0.25">
      <c r="A60" t="str">
        <f>"                PNC Financial Services Group I"</f>
        <v xml:space="preserve">                PNC Financial Services Group I</v>
      </c>
      <c r="B60" t="str">
        <f>"PNC US Equity"</f>
        <v>PNC US Equity</v>
      </c>
      <c r="C60" t="str">
        <f t="shared" si="6"/>
        <v>FC023</v>
      </c>
      <c r="D60" t="str">
        <f t="shared" si="7"/>
        <v>FDIC_TOTAL_SECURITIES</v>
      </c>
      <c r="E60" t="str">
        <f t="shared" si="8"/>
        <v>Dynamic</v>
      </c>
      <c r="F60" t="str">
        <f ca="1">IF(AND(ISNUMBER($F$200),$B$145=1),$F$200,HLOOKUP(INDIRECT(ADDRESS(2,COLUMN())),OFFSET($BN$2,0,0,ROW()-1,60),ROW()-1,FALSE))</f>
        <v/>
      </c>
      <c r="G60">
        <f ca="1">IF(AND(ISNUMBER($G$200),$B$145=1),$G$200,HLOOKUP(INDIRECT(ADDRESS(2,COLUMN())),OFFSET($BN$2,0,0,ROW()-1,60),ROW()-1,FALSE))</f>
        <v>144188.23699999999</v>
      </c>
      <c r="H60">
        <f ca="1">IF(AND(ISNUMBER($H$200),$B$145=1),$H$200,HLOOKUP(INDIRECT(ADDRESS(2,COLUMN())),OFFSET($BN$2,0,0,ROW()-1,60),ROW()-1,FALSE))</f>
        <v>138649.98800000001</v>
      </c>
      <c r="I60">
        <f ca="1">IF(AND(ISNUMBER($I$200),$B$145=1),$I$200,HLOOKUP(INDIRECT(ADDRESS(2,COLUMN())),OFFSET($BN$2,0,0,ROW()-1,60),ROW()-1,FALSE))</f>
        <v>130465.18799999999</v>
      </c>
      <c r="J60">
        <f ca="1">IF(AND(ISNUMBER($J$200),$B$145=1),$J$200,HLOOKUP(INDIRECT(ADDRESS(2,COLUMN())),OFFSET($BN$2,0,0,ROW()-1,60),ROW()-1,FALSE))</f>
        <v>132574.51</v>
      </c>
      <c r="K60">
        <f ca="1">IF(AND(ISNUMBER($K$200),$B$145=1),$K$200,HLOOKUP(INDIRECT(ADDRESS(2,COLUMN())),OFFSET($BN$2,0,0,ROW()-1,60),ROW()-1,FALSE))</f>
        <v>132392.774</v>
      </c>
      <c r="L60">
        <f ca="1">IF(AND(ISNUMBER($L$200),$B$145=1),$L$200,HLOOKUP(INDIRECT(ADDRESS(2,COLUMN())),OFFSET($BN$2,0,0,ROW()-1,60),ROW()-1,FALSE))</f>
        <v>135666.88200000001</v>
      </c>
      <c r="M60">
        <f ca="1">IF(AND(ISNUMBER($M$200),$B$145=1),$M$200,HLOOKUP(INDIRECT(ADDRESS(2,COLUMN())),OFFSET($BN$2,0,0,ROW()-1,60),ROW()-1,FALSE))</f>
        <v>138245.565</v>
      </c>
      <c r="N60">
        <f ca="1">IF(AND(ISNUMBER($N$200),$B$145=1),$N$200,HLOOKUP(INDIRECT(ADDRESS(2,COLUMN())),OFFSET($BN$2,0,0,ROW()-1,60),ROW()-1,FALSE))</f>
        <v>139341.296</v>
      </c>
      <c r="O60">
        <f ca="1">IF(AND(ISNUMBER($O$200),$B$145=1),$O$200,HLOOKUP(INDIRECT(ADDRESS(2,COLUMN())),OFFSET($BN$2,0,0,ROW()-1,60),ROW()-1,FALSE))</f>
        <v>136458.48699999999</v>
      </c>
      <c r="P60">
        <f ca="1">IF(AND(ISNUMBER($P$200),$B$145=1),$P$200,HLOOKUP(INDIRECT(ADDRESS(2,COLUMN())),OFFSET($BN$2,0,0,ROW()-1,60),ROW()-1,FALSE))</f>
        <v>132736.258</v>
      </c>
      <c r="Q60">
        <f ca="1">IF(AND(ISNUMBER($Q$200),$B$145=1),$Q$200,HLOOKUP(INDIRECT(ADDRESS(2,COLUMN())),OFFSET($BN$2,0,0,ROW()-1,60),ROW()-1,FALSE))</f>
        <v>132414.40100000001</v>
      </c>
      <c r="R60">
        <f ca="1">IF(AND(ISNUMBER($R$200),$B$145=1),$R$200,HLOOKUP(INDIRECT(ADDRESS(2,COLUMN())),OFFSET($BN$2,0,0,ROW()-1,60),ROW()-1,FALSE))</f>
        <v>132965.06</v>
      </c>
      <c r="S60">
        <f ca="1">IF(AND(ISNUMBER($S$200),$B$145=1),$S$200,HLOOKUP(INDIRECT(ADDRESS(2,COLUMN())),OFFSET($BN$2,0,0,ROW()-1,60),ROW()-1,FALSE))</f>
        <v>125608.85</v>
      </c>
      <c r="T60">
        <f ca="1">IF(AND(ISNUMBER($T$200),$B$145=1),$T$200,HLOOKUP(INDIRECT(ADDRESS(2,COLUMN())),OFFSET($BN$2,0,0,ROW()-1,60),ROW()-1,FALSE))</f>
        <v>126546.56299999999</v>
      </c>
      <c r="U60">
        <f ca="1">IF(AND(ISNUMBER($U$200),$B$145=1),$U$200,HLOOKUP(INDIRECT(ADDRESS(2,COLUMN())),OFFSET($BN$2,0,0,ROW()-1,60),ROW()-1,FALSE))</f>
        <v>98257.870999999999</v>
      </c>
      <c r="V60">
        <f ca="1">IF(AND(ISNUMBER($V$200),$B$145=1),$V$200,HLOOKUP(INDIRECT(ADDRESS(2,COLUMN())),OFFSET($BN$2,0,0,ROW()-1,60),ROW()-1,FALSE))</f>
        <v>88802.517999999996</v>
      </c>
      <c r="W60">
        <f ca="1">IF(AND(ISNUMBER($W$200),$B$145=1),$W$200,HLOOKUP(INDIRECT(ADDRESS(2,COLUMN())),OFFSET($BN$2,0,0,ROW()-1,60),ROW()-1,FALSE))</f>
        <v>91188.369000000006</v>
      </c>
      <c r="X60">
        <f ca="1">IF(AND(ISNUMBER($X$200),$B$145=1),$X$200,HLOOKUP(INDIRECT(ADDRESS(2,COLUMN())),OFFSET($BN$2,0,0,ROW()-1,60),ROW()-1,FALSE))</f>
        <v>98495.680999999997</v>
      </c>
      <c r="Y60">
        <f ca="1">IF(AND(ISNUMBER($Y$200),$B$145=1),$Y$200,HLOOKUP(INDIRECT(ADDRESS(2,COLUMN())),OFFSET($BN$2,0,0,ROW()-1,60),ROW()-1,FALSE))</f>
        <v>90547.837</v>
      </c>
      <c r="Z60">
        <f ca="1">IF(AND(ISNUMBER($Z$200),$B$145=1),$Z$200,HLOOKUP(INDIRECT(ADDRESS(2,COLUMN())),OFFSET($BN$2,0,0,ROW()-1,60),ROW()-1,FALSE))</f>
        <v>86824.293999999994</v>
      </c>
      <c r="AA60">
        <f ca="1">IF(AND(ISNUMBER($AA$200),$B$145=1),$AA$200,HLOOKUP(INDIRECT(ADDRESS(2,COLUMN())),OFFSET($BN$2,0,0,ROW()-1,60),ROW()-1,FALSE))</f>
        <v>87882.771999999997</v>
      </c>
      <c r="AB60">
        <f ca="1">IF(AND(ISNUMBER($AB$200),$B$145=1),$AB$200,HLOOKUP(INDIRECT(ADDRESS(2,COLUMN())),OFFSET($BN$2,0,0,ROW()-1,60),ROW()-1,FALSE))</f>
        <v>88303.096999999994</v>
      </c>
      <c r="AC60">
        <f ca="1">IF(AND(ISNUMBER($AC$200),$B$145=1),$AC$200,HLOOKUP(INDIRECT(ADDRESS(2,COLUMN())),OFFSET($BN$2,0,0,ROW()-1,60),ROW()-1,FALSE))</f>
        <v>83869.024999999994</v>
      </c>
      <c r="AD60">
        <f ca="1">IF(AND(ISNUMBER($AD$200),$B$145=1),$AD$200,HLOOKUP(INDIRECT(ADDRESS(2,COLUMN())),OFFSET($BN$2,0,0,ROW()-1,60),ROW()-1,FALSE))</f>
        <v>82701.39</v>
      </c>
      <c r="AE60">
        <f ca="1">IF(AND(ISNUMBER($AE$200),$B$145=1),$AE$200,HLOOKUP(INDIRECT(ADDRESS(2,COLUMN())),OFFSET($BN$2,0,0,ROW()-1,60),ROW()-1,FALSE))</f>
        <v>80803.918999999994</v>
      </c>
      <c r="AF60">
        <f ca="1">IF(AND(ISNUMBER($AF$200),$B$145=1),$AF$200,HLOOKUP(INDIRECT(ADDRESS(2,COLUMN())),OFFSET($BN$2,0,0,ROW()-1,60),ROW()-1,FALSE))</f>
        <v>80125.202999999994</v>
      </c>
      <c r="AG60">
        <f ca="1">IF(AND(ISNUMBER($AG$200),$B$145=1),$AG$200,HLOOKUP(INDIRECT(ADDRESS(2,COLUMN())),OFFSET($BN$2,0,0,ROW()-1,60),ROW()-1,FALSE))</f>
        <v>74561.964999999997</v>
      </c>
      <c r="AH60">
        <f ca="1">IF(AND(ISNUMBER($AH$200),$B$145=1),$AH$200,HLOOKUP(INDIRECT(ADDRESS(2,COLUMN())),OFFSET($BN$2,0,0,ROW()-1,60),ROW()-1,FALSE))</f>
        <v>76131.213000000003</v>
      </c>
      <c r="AI60">
        <f ca="1">IF(AND(ISNUMBER($AI$200),$B$145=1),$AI$200,HLOOKUP(INDIRECT(ADDRESS(2,COLUMN())),OFFSET($BN$2,0,0,ROW()-1,60),ROW()-1,FALSE))</f>
        <v>74994.482000000004</v>
      </c>
      <c r="AJ60">
        <f ca="1">IF(AND(ISNUMBER($AJ$200),$B$145=1),$AJ$200,HLOOKUP(INDIRECT(ADDRESS(2,COLUMN())),OFFSET($BN$2,0,0,ROW()-1,60),ROW()-1,FALSE))</f>
        <v>76430.835999999996</v>
      </c>
      <c r="AK60">
        <f ca="1">IF(AND(ISNUMBER($AK$200),$B$145=1),$AK$200,HLOOKUP(INDIRECT(ADDRESS(2,COLUMN())),OFFSET($BN$2,0,0,ROW()-1,60),ROW()-1,FALSE))</f>
        <v>76431.945999999996</v>
      </c>
      <c r="AL60">
        <f ca="1">IF(AND(ISNUMBER($AL$200),$B$145=1),$AL$200,HLOOKUP(INDIRECT(ADDRESS(2,COLUMN())),OFFSET($BN$2,0,0,ROW()-1,60),ROW()-1,FALSE))</f>
        <v>75947.494000000006</v>
      </c>
      <c r="AM60">
        <f ca="1">IF(AND(ISNUMBER($AM$200),$B$145=1),$AM$200,HLOOKUP(INDIRECT(ADDRESS(2,COLUMN())),OFFSET($BN$2,0,0,ROW()-1,60),ROW()-1,FALSE))</f>
        <v>78513.962</v>
      </c>
      <c r="AN60">
        <f ca="1">IF(AND(ISNUMBER($AN$200),$B$145=1),$AN$200,HLOOKUP(INDIRECT(ADDRESS(2,COLUMN())),OFFSET($BN$2,0,0,ROW()-1,60),ROW()-1,FALSE))</f>
        <v>71800.808000000005</v>
      </c>
      <c r="AO60">
        <f ca="1">IF(AND(ISNUMBER($AO$200),$B$145=1),$AO$200,HLOOKUP(INDIRECT(ADDRESS(2,COLUMN())),OFFSET($BN$2,0,0,ROW()-1,60),ROW()-1,FALSE))</f>
        <v>72569.104000000007</v>
      </c>
      <c r="AP60">
        <f ca="1">IF(AND(ISNUMBER($AP$200),$B$145=1),$AP$200,HLOOKUP(INDIRECT(ADDRESS(2,COLUMN())),OFFSET($BN$2,0,0,ROW()-1,60),ROW()-1,FALSE))</f>
        <v>70527.505999999994</v>
      </c>
      <c r="AQ60">
        <f ca="1">IF(AND(ISNUMBER($AQ$200),$B$145=1),$AQ$200,HLOOKUP(INDIRECT(ADDRESS(2,COLUMN())),OFFSET($BN$2,0,0,ROW()-1,60),ROW()-1,FALSE))</f>
        <v>68065.967999999993</v>
      </c>
      <c r="AR60">
        <f ca="1">IF(AND(ISNUMBER($AR$200),$B$145=1),$AR$200,HLOOKUP(INDIRECT(ADDRESS(2,COLUMN())),OFFSET($BN$2,0,0,ROW()-1,60),ROW()-1,FALSE))</f>
        <v>61361.548999999999</v>
      </c>
      <c r="AS60">
        <f ca="1">IF(AND(ISNUMBER($AS$200),$B$145=1),$AS$200,HLOOKUP(INDIRECT(ADDRESS(2,COLUMN())),OFFSET($BN$2,0,0,ROW()-1,60),ROW()-1,FALSE))</f>
        <v>60767.786</v>
      </c>
      <c r="AT60">
        <f ca="1">IF(AND(ISNUMBER($AT$200),$B$145=1),$AT$200,HLOOKUP(INDIRECT(ADDRESS(2,COLUMN())),OFFSET($BN$2,0,0,ROW()-1,60),ROW()-1,FALSE))</f>
        <v>55822.758000000002</v>
      </c>
      <c r="AU60">
        <f ca="1">IF(AND(ISNUMBER($AU$200),$B$145=1),$AU$200,HLOOKUP(INDIRECT(ADDRESS(2,COLUMN())),OFFSET($BN$2,0,0,ROW()-1,60),ROW()-1,FALSE))</f>
        <v>55038.758000000002</v>
      </c>
      <c r="AV60">
        <f ca="1">IF(AND(ISNUMBER($AV$200),$B$145=1),$AV$200,HLOOKUP(INDIRECT(ADDRESS(2,COLUMN())),OFFSET($BN$2,0,0,ROW()-1,60),ROW()-1,FALSE))</f>
        <v>56602.114999999998</v>
      </c>
      <c r="AW60">
        <f ca="1">IF(AND(ISNUMBER($AW$200),$B$145=1),$AW$200,HLOOKUP(INDIRECT(ADDRESS(2,COLUMN())),OFFSET($BN$2,0,0,ROW()-1,60),ROW()-1,FALSE))</f>
        <v>58643.964999999997</v>
      </c>
      <c r="AX60">
        <f ca="1">IF(AND(ISNUMBER($AX$200),$B$145=1),$AX$200,HLOOKUP(INDIRECT(ADDRESS(2,COLUMN())),OFFSET($BN$2,0,0,ROW()-1,60),ROW()-1,FALSE))</f>
        <v>60294.237999999998</v>
      </c>
      <c r="AY60">
        <f ca="1">IF(AND(ISNUMBER($AY$200),$B$145=1),$AY$200,HLOOKUP(INDIRECT(ADDRESS(2,COLUMN())),OFFSET($BN$2,0,0,ROW()-1,60),ROW()-1,FALSE))</f>
        <v>57259.887000000002</v>
      </c>
      <c r="AZ60">
        <f ca="1">IF(AND(ISNUMBER($AZ$200),$B$145=1),$AZ$200,HLOOKUP(INDIRECT(ADDRESS(2,COLUMN())),OFFSET($BN$2,0,0,ROW()-1,60),ROW()-1,FALSE))</f>
        <v>57449.084000000003</v>
      </c>
      <c r="BA60">
        <f ca="1">IF(AND(ISNUMBER($BA$200),$B$145=1),$BA$200,HLOOKUP(INDIRECT(ADDRESS(2,COLUMN())),OFFSET($BN$2,0,0,ROW()-1,60),ROW()-1,FALSE))</f>
        <v>59360.913999999997</v>
      </c>
      <c r="BB60">
        <f ca="1">IF(AND(ISNUMBER($BB$200),$B$145=1),$BB$200,HLOOKUP(INDIRECT(ADDRESS(2,COLUMN())),OFFSET($BN$2,0,0,ROW()-1,60),ROW()-1,FALSE))</f>
        <v>61406.027000000002</v>
      </c>
      <c r="BC60">
        <f ca="1">IF(AND(ISNUMBER($BC$200),$B$145=1),$BC$200,HLOOKUP(INDIRECT(ADDRESS(2,COLUMN())),OFFSET($BN$2,0,0,ROW()-1,60),ROW()-1,FALSE))</f>
        <v>62813.59</v>
      </c>
      <c r="BD60">
        <f ca="1">IF(AND(ISNUMBER($BD$200),$B$145=1),$BD$200,HLOOKUP(INDIRECT(ADDRESS(2,COLUMN())),OFFSET($BN$2,0,0,ROW()-1,60),ROW()-1,FALSE))</f>
        <v>61937.159</v>
      </c>
      <c r="BE60">
        <f ca="1">IF(AND(ISNUMBER($BE$200),$B$145=1),$BE$200,HLOOKUP(INDIRECT(ADDRESS(2,COLUMN())),OFFSET($BN$2,0,0,ROW()-1,60),ROW()-1,FALSE))</f>
        <v>64554.052000000003</v>
      </c>
      <c r="BF60">
        <f ca="1">IF(AND(ISNUMBER($BF$200),$B$145=1),$BF$200,HLOOKUP(INDIRECT(ADDRESS(2,COLUMN())),OFFSET($BN$2,0,0,ROW()-1,60),ROW()-1,FALSE))</f>
        <v>60634.279000000002</v>
      </c>
      <c r="BG60">
        <f ca="1">IF(AND(ISNUMBER($BG$200),$B$145=1),$BG$200,HLOOKUP(INDIRECT(ADDRESS(2,COLUMN())),OFFSET($BN$2,0,0,ROW()-1,60),ROW()-1,FALSE))</f>
        <v>62104.966999999997</v>
      </c>
      <c r="BH60">
        <f ca="1">IF(AND(ISNUMBER($BH$200),$B$145=1),$BH$200,HLOOKUP(INDIRECT(ADDRESS(2,COLUMN())),OFFSET($BN$2,0,0,ROW()-1,60),ROW()-1,FALSE))</f>
        <v>59414.317000000003</v>
      </c>
      <c r="BI60">
        <f ca="1">IF(AND(ISNUMBER($BI$200),$B$145=1),$BI$200,HLOOKUP(INDIRECT(ADDRESS(2,COLUMN())),OFFSET($BN$2,0,0,ROW()-1,60),ROW()-1,FALSE))</f>
        <v>60991.98</v>
      </c>
      <c r="BJ60">
        <f ca="1">IF(AND(ISNUMBER($BJ$200),$B$145=1),$BJ$200,HLOOKUP(INDIRECT(ADDRESS(2,COLUMN())),OFFSET($BN$2,0,0,ROW()-1,60),ROW()-1,FALSE))</f>
        <v>64261.917999999998</v>
      </c>
      <c r="BK60">
        <f ca="1">IF(AND(ISNUMBER($BK$200),$B$145=1),$BK$200,HLOOKUP(INDIRECT(ADDRESS(2,COLUMN())),OFFSET($BN$2,0,0,ROW()-1,60),ROW()-1,FALSE))</f>
        <v>63460.521999999997</v>
      </c>
      <c r="BL60">
        <f ca="1">IF(AND(ISNUMBER($BL$200),$B$145=1),$BL$200,HLOOKUP(INDIRECT(ADDRESS(2,COLUMN())),OFFSET($BN$2,0,0,ROW()-1,60),ROW()-1,FALSE))</f>
        <v>53717.120000000003</v>
      </c>
      <c r="BM60">
        <f ca="1">IF(AND(ISNUMBER($BM$200),$B$145=1),$BM$200,HLOOKUP(INDIRECT(ADDRESS(2,COLUMN())),OFFSET($BN$2,0,0,ROW()-1,60),ROW()-1,FALSE))</f>
        <v>57606.47</v>
      </c>
      <c r="BN60" t="str">
        <f>""</f>
        <v/>
      </c>
      <c r="BO60">
        <f>144188.237</f>
        <v>144188.23699999999</v>
      </c>
      <c r="BP60">
        <f>138649.988</f>
        <v>138649.98800000001</v>
      </c>
      <c r="BQ60">
        <f>130465.188</f>
        <v>130465.18799999999</v>
      </c>
      <c r="BR60">
        <f>132574.51</f>
        <v>132574.51</v>
      </c>
      <c r="BS60">
        <f>132392.774</f>
        <v>132392.774</v>
      </c>
      <c r="BT60">
        <f>135666.882</f>
        <v>135666.88200000001</v>
      </c>
      <c r="BU60">
        <f>138245.565</f>
        <v>138245.565</v>
      </c>
      <c r="BV60">
        <f>139341.296</f>
        <v>139341.296</v>
      </c>
      <c r="BW60">
        <f>136458.487</f>
        <v>136458.48699999999</v>
      </c>
      <c r="BX60">
        <f>132736.258</f>
        <v>132736.258</v>
      </c>
      <c r="BY60">
        <f>132414.401</f>
        <v>132414.40100000001</v>
      </c>
      <c r="BZ60">
        <f>132965.06</f>
        <v>132965.06</v>
      </c>
      <c r="CA60">
        <f>125608.85</f>
        <v>125608.85</v>
      </c>
      <c r="CB60">
        <f>126546.563</f>
        <v>126546.56299999999</v>
      </c>
      <c r="CC60">
        <f>98257.871</f>
        <v>98257.870999999999</v>
      </c>
      <c r="CD60">
        <f>88802.518</f>
        <v>88802.517999999996</v>
      </c>
      <c r="CE60">
        <f>91188.369</f>
        <v>91188.369000000006</v>
      </c>
      <c r="CF60">
        <f>98495.681</f>
        <v>98495.680999999997</v>
      </c>
      <c r="CG60">
        <f>90547.837</f>
        <v>90547.837</v>
      </c>
      <c r="CH60">
        <f>86824.294</f>
        <v>86824.293999999994</v>
      </c>
      <c r="CI60">
        <f>87882.772</f>
        <v>87882.771999999997</v>
      </c>
      <c r="CJ60">
        <f>88303.097</f>
        <v>88303.096999999994</v>
      </c>
      <c r="CK60">
        <f>83869.025</f>
        <v>83869.024999999994</v>
      </c>
      <c r="CL60">
        <f>82701.39</f>
        <v>82701.39</v>
      </c>
      <c r="CM60">
        <f>80803.919</f>
        <v>80803.918999999994</v>
      </c>
      <c r="CN60">
        <f>80125.203</f>
        <v>80125.202999999994</v>
      </c>
      <c r="CO60">
        <f>74561.965</f>
        <v>74561.964999999997</v>
      </c>
      <c r="CP60">
        <f>76131.213</f>
        <v>76131.213000000003</v>
      </c>
      <c r="CQ60">
        <f>74994.482</f>
        <v>74994.482000000004</v>
      </c>
      <c r="CR60">
        <f>76430.836</f>
        <v>76430.835999999996</v>
      </c>
      <c r="CS60">
        <f>76431.946</f>
        <v>76431.945999999996</v>
      </c>
      <c r="CT60">
        <f>75947.494</f>
        <v>75947.494000000006</v>
      </c>
      <c r="CU60">
        <f>78513.962</f>
        <v>78513.962</v>
      </c>
      <c r="CV60">
        <f>71800.808</f>
        <v>71800.808000000005</v>
      </c>
      <c r="CW60">
        <f>72569.104</f>
        <v>72569.104000000007</v>
      </c>
      <c r="CX60">
        <f>70527.506</f>
        <v>70527.505999999994</v>
      </c>
      <c r="CY60">
        <f>68065.968</f>
        <v>68065.967999999993</v>
      </c>
      <c r="CZ60">
        <f>61361.549</f>
        <v>61361.548999999999</v>
      </c>
      <c r="DA60">
        <f>60767.786</f>
        <v>60767.786</v>
      </c>
      <c r="DB60">
        <f>55822.758</f>
        <v>55822.758000000002</v>
      </c>
      <c r="DC60">
        <f>55038.758</f>
        <v>55038.758000000002</v>
      </c>
      <c r="DD60">
        <f>56602.115</f>
        <v>56602.114999999998</v>
      </c>
      <c r="DE60">
        <f>58643.965</f>
        <v>58643.964999999997</v>
      </c>
      <c r="DF60">
        <f>60294.238</f>
        <v>60294.237999999998</v>
      </c>
      <c r="DG60">
        <f>57259.887</f>
        <v>57259.887000000002</v>
      </c>
      <c r="DH60">
        <f>57449.084</f>
        <v>57449.084000000003</v>
      </c>
      <c r="DI60">
        <f>59360.914</f>
        <v>59360.913999999997</v>
      </c>
      <c r="DJ60">
        <f>61406.027</f>
        <v>61406.027000000002</v>
      </c>
      <c r="DK60">
        <f>62813.59</f>
        <v>62813.59</v>
      </c>
      <c r="DL60">
        <f>61937.159</f>
        <v>61937.159</v>
      </c>
      <c r="DM60">
        <f>64554.052</f>
        <v>64554.052000000003</v>
      </c>
      <c r="DN60">
        <f>60634.279</f>
        <v>60634.279000000002</v>
      </c>
      <c r="DO60">
        <f>62104.967</f>
        <v>62104.966999999997</v>
      </c>
      <c r="DP60">
        <f>59414.317</f>
        <v>59414.317000000003</v>
      </c>
      <c r="DQ60">
        <f>60991.98</f>
        <v>60991.98</v>
      </c>
      <c r="DR60">
        <f>64261.918</f>
        <v>64261.917999999998</v>
      </c>
      <c r="DS60">
        <f>63460.522</f>
        <v>63460.521999999997</v>
      </c>
      <c r="DT60">
        <f>53717.12</f>
        <v>53717.120000000003</v>
      </c>
      <c r="DU60">
        <f>57606.47</f>
        <v>57606.47</v>
      </c>
    </row>
    <row r="61" spans="1:125" x14ac:dyDescent="0.25">
      <c r="A61" t="str">
        <f>"                Regions Financial Corp"</f>
        <v xml:space="preserve">                Regions Financial Corp</v>
      </c>
      <c r="B61" t="str">
        <f>"RF US Equity"</f>
        <v>RF US Equity</v>
      </c>
      <c r="C61" t="str">
        <f t="shared" si="6"/>
        <v>FC023</v>
      </c>
      <c r="D61" t="str">
        <f t="shared" si="7"/>
        <v>FDIC_TOTAL_SECURITIES</v>
      </c>
      <c r="E61" t="str">
        <f t="shared" si="8"/>
        <v>Dynamic</v>
      </c>
      <c r="F61" t="str">
        <f ca="1">IF(AND(ISNUMBER($F$201),$B$145=1),$F$201,HLOOKUP(INDIRECT(ADDRESS(2,COLUMN())),OFFSET($BN$2,0,0,ROW()-1,60),ROW()-1,FALSE))</f>
        <v/>
      </c>
      <c r="G61">
        <f ca="1">IF(AND(ISNUMBER($G$201),$B$145=1),$G$201,HLOOKUP(INDIRECT(ADDRESS(2,COLUMN())),OFFSET($BN$2,0,0,ROW()-1,60),ROW()-1,FALSE))</f>
        <v>31485</v>
      </c>
      <c r="H61">
        <f ca="1">IF(AND(ISNUMBER($H$201),$B$145=1),$H$201,HLOOKUP(INDIRECT(ADDRESS(2,COLUMN())),OFFSET($BN$2,0,0,ROW()-1,60),ROW()-1,FALSE))</f>
        <v>29270</v>
      </c>
      <c r="I61">
        <f ca="1">IF(AND(ISNUMBER($I$201),$B$145=1),$I$201,HLOOKUP(INDIRECT(ADDRESS(2,COLUMN())),OFFSET($BN$2,0,0,ROW()-1,60),ROW()-1,FALSE))</f>
        <v>28624</v>
      </c>
      <c r="J61">
        <f ca="1">IF(AND(ISNUMBER($J$201),$B$145=1),$J$201,HLOOKUP(INDIRECT(ADDRESS(2,COLUMN())),OFFSET($BN$2,0,0,ROW()-1,60),ROW()-1,FALSE))</f>
        <v>28858</v>
      </c>
      <c r="K61">
        <f ca="1">IF(AND(ISNUMBER($K$201),$B$145=1),$K$201,HLOOKUP(INDIRECT(ADDRESS(2,COLUMN())),OFFSET($BN$2,0,0,ROW()-1,60),ROW()-1,FALSE))</f>
        <v>26991</v>
      </c>
      <c r="L61">
        <f ca="1">IF(AND(ISNUMBER($L$201),$B$145=1),$L$201,HLOOKUP(INDIRECT(ADDRESS(2,COLUMN())),OFFSET($BN$2,0,0,ROW()-1,60),ROW()-1,FALSE))</f>
        <v>28073</v>
      </c>
      <c r="M61">
        <f ca="1">IF(AND(ISNUMBER($M$201),$B$145=1),$M$201,HLOOKUP(INDIRECT(ADDRESS(2,COLUMN())),OFFSET($BN$2,0,0,ROW()-1,60),ROW()-1,FALSE))</f>
        <v>29020</v>
      </c>
      <c r="N61">
        <f ca="1">IF(AND(ISNUMBER($N$201),$B$145=1),$N$201,HLOOKUP(INDIRECT(ADDRESS(2,COLUMN())),OFFSET($BN$2,0,0,ROW()-1,60),ROW()-1,FALSE))</f>
        <v>28734</v>
      </c>
      <c r="O61">
        <f ca="1">IF(AND(ISNUMBER($O$201),$B$145=1),$O$201,HLOOKUP(INDIRECT(ADDRESS(2,COLUMN())),OFFSET($BN$2,0,0,ROW()-1,60),ROW()-1,FALSE))</f>
        <v>28943</v>
      </c>
      <c r="P61">
        <f ca="1">IF(AND(ISNUMBER($P$201),$B$145=1),$P$201,HLOOKUP(INDIRECT(ADDRESS(2,COLUMN())),OFFSET($BN$2,0,0,ROW()-1,60),ROW()-1,FALSE))</f>
        <v>29888</v>
      </c>
      <c r="Q61">
        <f ca="1">IF(AND(ISNUMBER($Q$201),$B$145=1),$Q$201,HLOOKUP(INDIRECT(ADDRESS(2,COLUMN())),OFFSET($BN$2,0,0,ROW()-1,60),ROW()-1,FALSE))</f>
        <v>30248</v>
      </c>
      <c r="R61">
        <f ca="1">IF(AND(ISNUMBER($R$201),$B$145=1),$R$201,HLOOKUP(INDIRECT(ADDRESS(2,COLUMN())),OFFSET($BN$2,0,0,ROW()-1,60),ROW()-1,FALSE))</f>
        <v>29380</v>
      </c>
      <c r="S61">
        <f ca="1">IF(AND(ISNUMBER($S$201),$B$145=1),$S$201,HLOOKUP(INDIRECT(ADDRESS(2,COLUMN())),OFFSET($BN$2,0,0,ROW()-1,60),ROW()-1,FALSE))</f>
        <v>29931</v>
      </c>
      <c r="T61">
        <f ca="1">IF(AND(ISNUMBER($T$201),$B$145=1),$T$201,HLOOKUP(INDIRECT(ADDRESS(2,COLUMN())),OFFSET($BN$2,0,0,ROW()-1,60),ROW()-1,FALSE))</f>
        <v>30283</v>
      </c>
      <c r="U61">
        <f ca="1">IF(AND(ISNUMBER($U$201),$B$145=1),$U$201,HLOOKUP(INDIRECT(ADDRESS(2,COLUMN())),OFFSET($BN$2,0,0,ROW()-1,60),ROW()-1,FALSE))</f>
        <v>28150</v>
      </c>
      <c r="V61">
        <f ca="1">IF(AND(ISNUMBER($V$201),$B$145=1),$V$201,HLOOKUP(INDIRECT(ADDRESS(2,COLUMN())),OFFSET($BN$2,0,0,ROW()-1,60),ROW()-1,FALSE))</f>
        <v>28276</v>
      </c>
      <c r="W61">
        <f ca="1">IF(AND(ISNUMBER($W$201),$B$145=1),$W$201,HLOOKUP(INDIRECT(ADDRESS(2,COLUMN())),OFFSET($BN$2,0,0,ROW()-1,60),ROW()-1,FALSE))</f>
        <v>28197</v>
      </c>
      <c r="X61">
        <f ca="1">IF(AND(ISNUMBER($X$201),$B$145=1),$X$201,HLOOKUP(INDIRECT(ADDRESS(2,COLUMN())),OFFSET($BN$2,0,0,ROW()-1,60),ROW()-1,FALSE))</f>
        <v>25153</v>
      </c>
      <c r="Y61">
        <f ca="1">IF(AND(ISNUMBER($Y$201),$B$145=1),$Y$201,HLOOKUP(INDIRECT(ADDRESS(2,COLUMN())),OFFSET($BN$2,0,0,ROW()-1,60),ROW()-1,FALSE))</f>
        <v>25071</v>
      </c>
      <c r="Z61">
        <f ca="1">IF(AND(ISNUMBER($Z$201),$B$145=1),$Z$201,HLOOKUP(INDIRECT(ADDRESS(2,COLUMN())),OFFSET($BN$2,0,0,ROW()-1,60),ROW()-1,FALSE))</f>
        <v>23938</v>
      </c>
      <c r="AA61">
        <f ca="1">IF(AND(ISNUMBER($AA$201),$B$145=1),$AA$201,HLOOKUP(INDIRECT(ADDRESS(2,COLUMN())),OFFSET($BN$2,0,0,ROW()-1,60),ROW()-1,FALSE))</f>
        <v>24361</v>
      </c>
      <c r="AB61">
        <f ca="1">IF(AND(ISNUMBER($AB$201),$B$145=1),$AB$201,HLOOKUP(INDIRECT(ADDRESS(2,COLUMN())),OFFSET($BN$2,0,0,ROW()-1,60),ROW()-1,FALSE))</f>
        <v>24114</v>
      </c>
      <c r="AC61">
        <f ca="1">IF(AND(ISNUMBER($AC$201),$B$145=1),$AC$201,HLOOKUP(INDIRECT(ADDRESS(2,COLUMN())),OFFSET($BN$2,0,0,ROW()-1,60),ROW()-1,FALSE))</f>
        <v>25237</v>
      </c>
      <c r="AD61">
        <f ca="1">IF(AND(ISNUMBER($AD$201),$B$145=1),$AD$201,HLOOKUP(INDIRECT(ADDRESS(2,COLUMN())),OFFSET($BN$2,0,0,ROW()-1,60),ROW()-1,FALSE))</f>
        <v>24210.748</v>
      </c>
      <c r="AE61">
        <f ca="1">IF(AND(ISNUMBER($AE$201),$B$145=1),$AE$201,HLOOKUP(INDIRECT(ADDRESS(2,COLUMN())),OFFSET($BN$2,0,0,ROW()-1,60),ROW()-1,FALSE))</f>
        <v>24194.260999999999</v>
      </c>
      <c r="AF61">
        <f ca="1">IF(AND(ISNUMBER($AF$201),$B$145=1),$AF$201,HLOOKUP(INDIRECT(ADDRESS(2,COLUMN())),OFFSET($BN$2,0,0,ROW()-1,60),ROW()-1,FALSE))</f>
        <v>24502.435000000001</v>
      </c>
      <c r="AG61">
        <f ca="1">IF(AND(ISNUMBER($AG$201),$B$145=1),$AG$201,HLOOKUP(INDIRECT(ADDRESS(2,COLUMN())),OFFSET($BN$2,0,0,ROW()-1,60),ROW()-1,FALSE))</f>
        <v>24696.115000000002</v>
      </c>
      <c r="AH61">
        <f ca="1">IF(AND(ISNUMBER($AH$201),$B$145=1),$AH$201,HLOOKUP(INDIRECT(ADDRESS(2,COLUMN())),OFFSET($BN$2,0,0,ROW()-1,60),ROW()-1,FALSE))</f>
        <v>25286.245999999999</v>
      </c>
      <c r="AI61">
        <f ca="1">IF(AND(ISNUMBER($AI$201),$B$145=1),$AI$201,HLOOKUP(INDIRECT(ADDRESS(2,COLUMN())),OFFSET($BN$2,0,0,ROW()-1,60),ROW()-1,FALSE))</f>
        <v>25361.859</v>
      </c>
      <c r="AJ61">
        <f ca="1">IF(AND(ISNUMBER($AJ$201),$B$145=1),$AJ$201,HLOOKUP(INDIRECT(ADDRESS(2,COLUMN())),OFFSET($BN$2,0,0,ROW()-1,60),ROW()-1,FALSE))</f>
        <v>25361.728999999999</v>
      </c>
      <c r="AK61">
        <f ca="1">IF(AND(ISNUMBER($AK$201),$B$145=1),$AK$201,HLOOKUP(INDIRECT(ADDRESS(2,COLUMN())),OFFSET($BN$2,0,0,ROW()-1,60),ROW()-1,FALSE))</f>
        <v>25298.135999999999</v>
      </c>
      <c r="AL61">
        <f ca="1">IF(AND(ISNUMBER($AL$201),$B$145=1),$AL$201,HLOOKUP(INDIRECT(ADDRESS(2,COLUMN())),OFFSET($BN$2,0,0,ROW()-1,60),ROW()-1,FALSE))</f>
        <v>25143.65</v>
      </c>
      <c r="AM61">
        <f ca="1">IF(AND(ISNUMBER($AM$201),$B$145=1),$AM$201,HLOOKUP(INDIRECT(ADDRESS(2,COLUMN())),OFFSET($BN$2,0,0,ROW()-1,60),ROW()-1,FALSE))</f>
        <v>25290.403999999999</v>
      </c>
      <c r="AN61">
        <f ca="1">IF(AND(ISNUMBER($AN$201),$B$145=1),$AN$201,HLOOKUP(INDIRECT(ADDRESS(2,COLUMN())),OFFSET($BN$2,0,0,ROW()-1,60),ROW()-1,FALSE))</f>
        <v>25139.528999999999</v>
      </c>
      <c r="AO61">
        <f ca="1">IF(AND(ISNUMBER($AO$201),$B$145=1),$AO$201,HLOOKUP(INDIRECT(ADDRESS(2,COLUMN())),OFFSET($BN$2,0,0,ROW()-1,60),ROW()-1,FALSE))</f>
        <v>24995.796999999999</v>
      </c>
      <c r="AP61">
        <f ca="1">IF(AND(ISNUMBER($AP$201),$B$145=1),$AP$201,HLOOKUP(INDIRECT(ADDRESS(2,COLUMN())),OFFSET($BN$2,0,0,ROW()-1,60),ROW()-1,FALSE))</f>
        <v>24656.016</v>
      </c>
      <c r="AQ61">
        <f ca="1">IF(AND(ISNUMBER($AQ$201),$B$145=1),$AQ$201,HLOOKUP(INDIRECT(ADDRESS(2,COLUMN())),OFFSET($BN$2,0,0,ROW()-1,60),ROW()-1,FALSE))</f>
        <v>24034.432000000001</v>
      </c>
      <c r="AR61">
        <f ca="1">IF(AND(ISNUMBER($AR$201),$B$145=1),$AR$201,HLOOKUP(INDIRECT(ADDRESS(2,COLUMN())),OFFSET($BN$2,0,0,ROW()-1,60),ROW()-1,FALSE))</f>
        <v>24111.472000000002</v>
      </c>
      <c r="AS61">
        <f ca="1">IF(AND(ISNUMBER($AS$201),$B$145=1),$AS$201,HLOOKUP(INDIRECT(ADDRESS(2,COLUMN())),OFFSET($BN$2,0,0,ROW()-1,60),ROW()-1,FALSE))</f>
        <v>24503.901999999998</v>
      </c>
      <c r="AT61">
        <f ca="1">IF(AND(ISNUMBER($AT$201),$B$145=1),$AT$201,HLOOKUP(INDIRECT(ADDRESS(2,COLUMN())),OFFSET($BN$2,0,0,ROW()-1,60),ROW()-1,FALSE))</f>
        <v>24227.447</v>
      </c>
      <c r="AU61">
        <f ca="1">IF(AND(ISNUMBER($AU$201),$B$145=1),$AU$201,HLOOKUP(INDIRECT(ADDRESS(2,COLUMN())),OFFSET($BN$2,0,0,ROW()-1,60),ROW()-1,FALSE))</f>
        <v>24107.075000000001</v>
      </c>
      <c r="AV61">
        <f ca="1">IF(AND(ISNUMBER($AV$201),$B$145=1),$AV$201,HLOOKUP(INDIRECT(ADDRESS(2,COLUMN())),OFFSET($BN$2,0,0,ROW()-1,60),ROW()-1,FALSE))</f>
        <v>23744.019</v>
      </c>
      <c r="AW61">
        <f ca="1">IF(AND(ISNUMBER($AW$201),$B$145=1),$AW$201,HLOOKUP(INDIRECT(ADDRESS(2,COLUMN())),OFFSET($BN$2,0,0,ROW()-1,60),ROW()-1,FALSE))</f>
        <v>23425.442999999999</v>
      </c>
      <c r="AX61">
        <f ca="1">IF(AND(ISNUMBER($AX$201),$B$145=1),$AX$201,HLOOKUP(INDIRECT(ADDRESS(2,COLUMN())),OFFSET($BN$2,0,0,ROW()-1,60),ROW()-1,FALSE))</f>
        <v>23299.49</v>
      </c>
      <c r="AY61">
        <f ca="1">IF(AND(ISNUMBER($AY$201),$B$145=1),$AY$201,HLOOKUP(INDIRECT(ADDRESS(2,COLUMN())),OFFSET($BN$2,0,0,ROW()-1,60),ROW()-1,FALSE))</f>
        <v>23455.887999999999</v>
      </c>
      <c r="AZ61">
        <f ca="1">IF(AND(ISNUMBER($AZ$201),$B$145=1),$AZ$201,HLOOKUP(INDIRECT(ADDRESS(2,COLUMN())),OFFSET($BN$2,0,0,ROW()-1,60),ROW()-1,FALSE))</f>
        <v>23818.609</v>
      </c>
      <c r="BA61">
        <f ca="1">IF(AND(ISNUMBER($BA$201),$B$145=1),$BA$201,HLOOKUP(INDIRECT(ADDRESS(2,COLUMN())),OFFSET($BN$2,0,0,ROW()-1,60),ROW()-1,FALSE))</f>
        <v>26546.278999999999</v>
      </c>
      <c r="BB61">
        <f ca="1">IF(AND(ISNUMBER($BB$201),$B$145=1),$BB$201,HLOOKUP(INDIRECT(ADDRESS(2,COLUMN())),OFFSET($BN$2,0,0,ROW()-1,60),ROW()-1,FALSE))</f>
        <v>26697.102999999999</v>
      </c>
      <c r="BC61">
        <f ca="1">IF(AND(ISNUMBER($BC$201),$B$145=1),$BC$201,HLOOKUP(INDIRECT(ADDRESS(2,COLUMN())),OFFSET($BN$2,0,0,ROW()-1,60),ROW()-1,FALSE))</f>
        <v>27034.794999999998</v>
      </c>
      <c r="BD61">
        <f ca="1">IF(AND(ISNUMBER($BD$201),$B$145=1),$BD$201,HLOOKUP(INDIRECT(ADDRESS(2,COLUMN())),OFFSET($BN$2,0,0,ROW()-1,60),ROW()-1,FALSE))</f>
        <v>26630.583999999999</v>
      </c>
      <c r="BE61">
        <f ca="1">IF(AND(ISNUMBER($BE$201),$B$145=1),$BE$201,HLOOKUP(INDIRECT(ADDRESS(2,COLUMN())),OFFSET($BN$2,0,0,ROW()-1,60),ROW()-1,FALSE))</f>
        <v>26490.938999999998</v>
      </c>
      <c r="BF61">
        <f ca="1">IF(AND(ISNUMBER($BF$201),$B$145=1),$BF$201,HLOOKUP(INDIRECT(ADDRESS(2,COLUMN())),OFFSET($BN$2,0,0,ROW()-1,60),ROW()-1,FALSE))</f>
        <v>23785.848000000002</v>
      </c>
      <c r="BG61">
        <f ca="1">IF(AND(ISNUMBER($BG$201),$B$145=1),$BG$201,HLOOKUP(INDIRECT(ADDRESS(2,COLUMN())),OFFSET($BN$2,0,0,ROW()-1,60),ROW()-1,FALSE))</f>
        <v>23909.800999999999</v>
      </c>
      <c r="BH61">
        <f ca="1">IF(AND(ISNUMBER($BH$201),$B$145=1),$BH$201,HLOOKUP(INDIRECT(ADDRESS(2,COLUMN())),OFFSET($BN$2,0,0,ROW()-1,60),ROW()-1,FALSE))</f>
        <v>23048.025000000001</v>
      </c>
      <c r="BI61">
        <f ca="1">IF(AND(ISNUMBER($BI$201),$B$145=1),$BI$201,HLOOKUP(INDIRECT(ADDRESS(2,COLUMN())),OFFSET($BN$2,0,0,ROW()-1,60),ROW()-1,FALSE))</f>
        <v>23834.206999999999</v>
      </c>
      <c r="BJ61">
        <f ca="1">IF(AND(ISNUMBER($BJ$201),$B$145=1),$BJ$201,HLOOKUP(INDIRECT(ADDRESS(2,COLUMN())),OFFSET($BN$2,0,0,ROW()-1,60),ROW()-1,FALSE))</f>
        <v>22422.896000000001</v>
      </c>
      <c r="BK61">
        <f ca="1">IF(AND(ISNUMBER($BK$201),$B$145=1),$BK$201,HLOOKUP(INDIRECT(ADDRESS(2,COLUMN())),OFFSET($BN$2,0,0,ROW()-1,60),ROW()-1,FALSE))</f>
        <v>22667.594000000001</v>
      </c>
      <c r="BL61">
        <f ca="1">IF(AND(ISNUMBER($BL$201),$B$145=1),$BL$201,HLOOKUP(INDIRECT(ADDRESS(2,COLUMN())),OFFSET($BN$2,0,0,ROW()-1,60),ROW()-1,FALSE))</f>
        <v>23244.832999999999</v>
      </c>
      <c r="BM61">
        <f ca="1">IF(AND(ISNUMBER($BM$201),$B$145=1),$BM$201,HLOOKUP(INDIRECT(ADDRESS(2,COLUMN())),OFFSET($BN$2,0,0,ROW()-1,60),ROW()-1,FALSE))</f>
        <v>23283.694</v>
      </c>
      <c r="BN61" t="str">
        <f>""</f>
        <v/>
      </c>
      <c r="BO61">
        <f>31485</f>
        <v>31485</v>
      </c>
      <c r="BP61">
        <f>29270</f>
        <v>29270</v>
      </c>
      <c r="BQ61">
        <f>28624</f>
        <v>28624</v>
      </c>
      <c r="BR61">
        <f>28858</f>
        <v>28858</v>
      </c>
      <c r="BS61">
        <f>26991</f>
        <v>26991</v>
      </c>
      <c r="BT61">
        <f>28073</f>
        <v>28073</v>
      </c>
      <c r="BU61">
        <f>29020</f>
        <v>29020</v>
      </c>
      <c r="BV61">
        <f>28734</f>
        <v>28734</v>
      </c>
      <c r="BW61">
        <f>28943</f>
        <v>28943</v>
      </c>
      <c r="BX61">
        <f>29888</f>
        <v>29888</v>
      </c>
      <c r="BY61">
        <f>30248</f>
        <v>30248</v>
      </c>
      <c r="BZ61">
        <f>29380</f>
        <v>29380</v>
      </c>
      <c r="CA61">
        <f>29931</f>
        <v>29931</v>
      </c>
      <c r="CB61">
        <f>30283</f>
        <v>30283</v>
      </c>
      <c r="CC61">
        <f>28150</f>
        <v>28150</v>
      </c>
      <c r="CD61">
        <f>28276</f>
        <v>28276</v>
      </c>
      <c r="CE61">
        <f>28197</f>
        <v>28197</v>
      </c>
      <c r="CF61">
        <f>25153</f>
        <v>25153</v>
      </c>
      <c r="CG61">
        <f>25071</f>
        <v>25071</v>
      </c>
      <c r="CH61">
        <f>23938</f>
        <v>23938</v>
      </c>
      <c r="CI61">
        <f>24361</f>
        <v>24361</v>
      </c>
      <c r="CJ61">
        <f>24114</f>
        <v>24114</v>
      </c>
      <c r="CK61">
        <f>25237</f>
        <v>25237</v>
      </c>
      <c r="CL61">
        <f>24210.748</f>
        <v>24210.748</v>
      </c>
      <c r="CM61">
        <f>24194.261</f>
        <v>24194.260999999999</v>
      </c>
      <c r="CN61">
        <f>24502.435</f>
        <v>24502.435000000001</v>
      </c>
      <c r="CO61">
        <f>24696.115</f>
        <v>24696.115000000002</v>
      </c>
      <c r="CP61">
        <f>25286.246</f>
        <v>25286.245999999999</v>
      </c>
      <c r="CQ61">
        <f>25361.859</f>
        <v>25361.859</v>
      </c>
      <c r="CR61">
        <f>25361.729</f>
        <v>25361.728999999999</v>
      </c>
      <c r="CS61">
        <f>25298.136</f>
        <v>25298.135999999999</v>
      </c>
      <c r="CT61">
        <f>25143.65</f>
        <v>25143.65</v>
      </c>
      <c r="CU61">
        <f>25290.404</f>
        <v>25290.403999999999</v>
      </c>
      <c r="CV61">
        <f>25139.529</f>
        <v>25139.528999999999</v>
      </c>
      <c r="CW61">
        <f>24995.797</f>
        <v>24995.796999999999</v>
      </c>
      <c r="CX61">
        <f>24656.016</f>
        <v>24656.016</v>
      </c>
      <c r="CY61">
        <f>24034.432</f>
        <v>24034.432000000001</v>
      </c>
      <c r="CZ61">
        <f>24111.472</f>
        <v>24111.472000000002</v>
      </c>
      <c r="DA61">
        <f>24503.902</f>
        <v>24503.901999999998</v>
      </c>
      <c r="DB61">
        <f>24227.447</f>
        <v>24227.447</v>
      </c>
      <c r="DC61">
        <f>24107.075</f>
        <v>24107.075000000001</v>
      </c>
      <c r="DD61">
        <f>23744.019</f>
        <v>23744.019</v>
      </c>
      <c r="DE61">
        <f>23425.443</f>
        <v>23425.442999999999</v>
      </c>
      <c r="DF61">
        <f>23299.49</f>
        <v>23299.49</v>
      </c>
      <c r="DG61">
        <f>23455.888</f>
        <v>23455.887999999999</v>
      </c>
      <c r="DH61">
        <f>23818.609</f>
        <v>23818.609</v>
      </c>
      <c r="DI61">
        <f>26546.279</f>
        <v>26546.278999999999</v>
      </c>
      <c r="DJ61">
        <f>26697.103</f>
        <v>26697.102999999999</v>
      </c>
      <c r="DK61">
        <f>27034.795</f>
        <v>27034.794999999998</v>
      </c>
      <c r="DL61">
        <f>26630.584</f>
        <v>26630.583999999999</v>
      </c>
      <c r="DM61">
        <f>26490.939</f>
        <v>26490.938999999998</v>
      </c>
      <c r="DN61">
        <f>23785.848</f>
        <v>23785.848000000002</v>
      </c>
      <c r="DO61">
        <f>23909.801</f>
        <v>23909.800999999999</v>
      </c>
      <c r="DP61">
        <f>23048.025</f>
        <v>23048.025000000001</v>
      </c>
      <c r="DQ61">
        <f>23834.207</f>
        <v>23834.206999999999</v>
      </c>
      <c r="DR61">
        <f>22422.896</f>
        <v>22422.896000000001</v>
      </c>
      <c r="DS61">
        <f>22667.594</f>
        <v>22667.594000000001</v>
      </c>
      <c r="DT61">
        <f>23244.833</f>
        <v>23244.832999999999</v>
      </c>
      <c r="DU61">
        <f>23283.694</f>
        <v>23283.694</v>
      </c>
    </row>
    <row r="62" spans="1:125" x14ac:dyDescent="0.25">
      <c r="A62" t="str">
        <f>"                Truist Financial Corp"</f>
        <v xml:space="preserve">                Truist Financial Corp</v>
      </c>
      <c r="B62" t="str">
        <f>"TFC US Equity"</f>
        <v>TFC US Equity</v>
      </c>
      <c r="C62" t="str">
        <f t="shared" si="6"/>
        <v>FC023</v>
      </c>
      <c r="D62" t="str">
        <f t="shared" si="7"/>
        <v>FDIC_TOTAL_SECURITIES</v>
      </c>
      <c r="E62" t="str">
        <f t="shared" si="8"/>
        <v>Dynamic</v>
      </c>
      <c r="F62">
        <f ca="1">IF(AND(ISNUMBER($F$202),$B$145=1),$F$202,HLOOKUP(INDIRECT(ADDRESS(2,COLUMN())),OFFSET($BN$2,0,0,ROW()-1,60),ROW()-1,FALSE))</f>
        <v>118104</v>
      </c>
      <c r="G62">
        <f ca="1">IF(AND(ISNUMBER($G$202),$B$145=1),$G$202,HLOOKUP(INDIRECT(ADDRESS(2,COLUMN())),OFFSET($BN$2,0,0,ROW()-1,60),ROW()-1,FALSE))</f>
        <v>115606</v>
      </c>
      <c r="H62">
        <f ca="1">IF(AND(ISNUMBER($H$202),$B$145=1),$H$202,HLOOKUP(INDIRECT(ADDRESS(2,COLUMN())),OFFSET($BN$2,0,0,ROW()-1,60),ROW()-1,FALSE))</f>
        <v>108416</v>
      </c>
      <c r="I62">
        <f ca="1">IF(AND(ISNUMBER($I$202),$B$145=1),$I$202,HLOOKUP(INDIRECT(ADDRESS(2,COLUMN())),OFFSET($BN$2,0,0,ROW()-1,60),ROW()-1,FALSE))</f>
        <v>119419</v>
      </c>
      <c r="J62">
        <f ca="1">IF(AND(ISNUMBER($J$202),$B$145=1),$J$202,HLOOKUP(INDIRECT(ADDRESS(2,COLUMN())),OFFSET($BN$2,0,0,ROW()-1,60),ROW()-1,FALSE))</f>
        <v>121473</v>
      </c>
      <c r="K62">
        <f ca="1">IF(AND(ISNUMBER($K$202),$B$145=1),$K$202,HLOOKUP(INDIRECT(ADDRESS(2,COLUMN())),OFFSET($BN$2,0,0,ROW()-1,60),ROW()-1,FALSE))</f>
        <v>120059</v>
      </c>
      <c r="L62">
        <f ca="1">IF(AND(ISNUMBER($L$202),$B$145=1),$L$202,HLOOKUP(INDIRECT(ADDRESS(2,COLUMN())),OFFSET($BN$2,0,0,ROW()-1,60),ROW()-1,FALSE))</f>
        <v>124923</v>
      </c>
      <c r="M62">
        <f ca="1">IF(AND(ISNUMBER($M$202),$B$145=1),$M$202,HLOOKUP(INDIRECT(ADDRESS(2,COLUMN())),OFFSET($BN$2,0,0,ROW()-1,60),ROW()-1,FALSE))</f>
        <v>128790</v>
      </c>
      <c r="N62">
        <f ca="1">IF(AND(ISNUMBER($N$202),$B$145=1),$N$202,HLOOKUP(INDIRECT(ADDRESS(2,COLUMN())),OFFSET($BN$2,0,0,ROW()-1,60),ROW()-1,FALSE))</f>
        <v>129514</v>
      </c>
      <c r="O62">
        <f ca="1">IF(AND(ISNUMBER($O$202),$B$145=1),$O$202,HLOOKUP(INDIRECT(ADDRESS(2,COLUMN())),OFFSET($BN$2,0,0,ROW()-1,60),ROW()-1,FALSE))</f>
        <v>131732</v>
      </c>
      <c r="P62">
        <f ca="1">IF(AND(ISNUMBER($P$202),$B$145=1),$P$202,HLOOKUP(INDIRECT(ADDRESS(2,COLUMN())),OFFSET($BN$2,0,0,ROW()-1,60),ROW()-1,FALSE))</f>
        <v>139359</v>
      </c>
      <c r="Q62">
        <f ca="1">IF(AND(ISNUMBER($Q$202),$B$145=1),$Q$202,HLOOKUP(INDIRECT(ADDRESS(2,COLUMN())),OFFSET($BN$2,0,0,ROW()-1,60),ROW()-1,FALSE))</f>
        <v>146415</v>
      </c>
      <c r="R62">
        <f ca="1">IF(AND(ISNUMBER($R$202),$B$145=1),$R$202,HLOOKUP(INDIRECT(ADDRESS(2,COLUMN())),OFFSET($BN$2,0,0,ROW()-1,60),ROW()-1,FALSE))</f>
        <v>154617</v>
      </c>
      <c r="S62">
        <f ca="1">IF(AND(ISNUMBER($S$202),$B$145=1),$S$202,HLOOKUP(INDIRECT(ADDRESS(2,COLUMN())),OFFSET($BN$2,0,0,ROW()-1,60),ROW()-1,FALSE))</f>
        <v>151038</v>
      </c>
      <c r="T62">
        <f ca="1">IF(AND(ISNUMBER($T$202),$B$145=1),$T$202,HLOOKUP(INDIRECT(ADDRESS(2,COLUMN())),OFFSET($BN$2,0,0,ROW()-1,60),ROW()-1,FALSE))</f>
        <v>139879</v>
      </c>
      <c r="U62">
        <f ca="1">IF(AND(ISNUMBER($U$202),$B$145=1),$U$202,HLOOKUP(INDIRECT(ADDRESS(2,COLUMN())),OFFSET($BN$2,0,0,ROW()-1,60),ROW()-1,FALSE))</f>
        <v>123807</v>
      </c>
      <c r="V62">
        <f ca="1">IF(AND(ISNUMBER($V$202),$B$145=1),$V$202,HLOOKUP(INDIRECT(ADDRESS(2,COLUMN())),OFFSET($BN$2,0,0,ROW()-1,60),ROW()-1,FALSE))</f>
        <v>120788</v>
      </c>
      <c r="W62">
        <f ca="1">IF(AND(ISNUMBER($W$202),$B$145=1),$W$202,HLOOKUP(INDIRECT(ADDRESS(2,COLUMN())),OFFSET($BN$2,0,0,ROW()-1,60),ROW()-1,FALSE))</f>
        <v>86132</v>
      </c>
      <c r="X62">
        <f ca="1">IF(AND(ISNUMBER($X$202),$B$145=1),$X$202,HLOOKUP(INDIRECT(ADDRESS(2,COLUMN())),OFFSET($BN$2,0,0,ROW()-1,60),ROW()-1,FALSE))</f>
        <v>77805</v>
      </c>
      <c r="Y62">
        <f ca="1">IF(AND(ISNUMBER($Y$202),$B$145=1),$Y$202,HLOOKUP(INDIRECT(ADDRESS(2,COLUMN())),OFFSET($BN$2,0,0,ROW()-1,60),ROW()-1,FALSE))</f>
        <v>78398</v>
      </c>
      <c r="Z62">
        <f ca="1">IF(AND(ISNUMBER($Z$202),$B$145=1),$Z$202,HLOOKUP(INDIRECT(ADDRESS(2,COLUMN())),OFFSET($BN$2,0,0,ROW()-1,60),ROW()-1,FALSE))</f>
        <v>74727</v>
      </c>
      <c r="AA62">
        <f ca="1">IF(AND(ISNUMBER($AA$202),$B$145=1),$AA$202,HLOOKUP(INDIRECT(ADDRESS(2,COLUMN())),OFFSET($BN$2,0,0,ROW()-1,60),ROW()-1,FALSE))</f>
        <v>54765</v>
      </c>
      <c r="AB62">
        <f ca="1">IF(AND(ISNUMBER($AB$202),$B$145=1),$AB$202,HLOOKUP(INDIRECT(ADDRESS(2,COLUMN())),OFFSET($BN$2,0,0,ROW()-1,60),ROW()-1,FALSE))</f>
        <v>45289</v>
      </c>
      <c r="AC62">
        <f ca="1">IF(AND(ISNUMBER($AC$202),$B$145=1),$AC$202,HLOOKUP(INDIRECT(ADDRESS(2,COLUMN())),OFFSET($BN$2,0,0,ROW()-1,60),ROW()-1,FALSE))</f>
        <v>46410</v>
      </c>
      <c r="AD62">
        <f ca="1">IF(AND(ISNUMBER($AD$202),$B$145=1),$AD$202,HLOOKUP(INDIRECT(ADDRESS(2,COLUMN())),OFFSET($BN$2,0,0,ROW()-1,60),ROW()-1,FALSE))</f>
        <v>45590</v>
      </c>
      <c r="AE62">
        <f ca="1">IF(AND(ISNUMBER($AE$202),$B$145=1),$AE$202,HLOOKUP(INDIRECT(ADDRESS(2,COLUMN())),OFFSET($BN$2,0,0,ROW()-1,60),ROW()-1,FALSE))</f>
        <v>45368</v>
      </c>
      <c r="AF62">
        <f ca="1">IF(AND(ISNUMBER($AF$202),$B$145=1),$AF$202,HLOOKUP(INDIRECT(ADDRESS(2,COLUMN())),OFFSET($BN$2,0,0,ROW()-1,60),ROW()-1,FALSE))</f>
        <v>45668</v>
      </c>
      <c r="AG62">
        <f ca="1">IF(AND(ISNUMBER($AG$202),$B$145=1),$AG$202,HLOOKUP(INDIRECT(ADDRESS(2,COLUMN())),OFFSET($BN$2,0,0,ROW()-1,60),ROW()-1,FALSE))</f>
        <v>47407</v>
      </c>
      <c r="AH62">
        <f ca="1">IF(AND(ISNUMBER($AH$202),$B$145=1),$AH$202,HLOOKUP(INDIRECT(ADDRESS(2,COLUMN())),OFFSET($BN$2,0,0,ROW()-1,60),ROW()-1,FALSE))</f>
        <v>47574</v>
      </c>
      <c r="AI62">
        <f ca="1">IF(AND(ISNUMBER($AI$202),$B$145=1),$AI$202,HLOOKUP(INDIRECT(ADDRESS(2,COLUMN())),OFFSET($BN$2,0,0,ROW()-1,60),ROW()-1,FALSE))</f>
        <v>46631</v>
      </c>
      <c r="AJ62">
        <f ca="1">IF(AND(ISNUMBER($AJ$202),$B$145=1),$AJ$202,HLOOKUP(INDIRECT(ADDRESS(2,COLUMN())),OFFSET($BN$2,0,0,ROW()-1,60),ROW()-1,FALSE))</f>
        <v>45283</v>
      </c>
      <c r="AK62">
        <f ca="1">IF(AND(ISNUMBER($AK$202),$B$145=1),$AK$202,HLOOKUP(INDIRECT(ADDRESS(2,COLUMN())),OFFSET($BN$2,0,0,ROW()-1,60),ROW()-1,FALSE))</f>
        <v>44877.180999999997</v>
      </c>
      <c r="AL62">
        <f ca="1">IF(AND(ISNUMBER($AL$202),$B$145=1),$AL$202,HLOOKUP(INDIRECT(ADDRESS(2,COLUMN())),OFFSET($BN$2,0,0,ROW()-1,60),ROW()-1,FALSE))</f>
        <v>43605.296000000002</v>
      </c>
      <c r="AM62">
        <f ca="1">IF(AND(ISNUMBER($AM$202),$B$145=1),$AM$202,HLOOKUP(INDIRECT(ADDRESS(2,COLUMN())),OFFSET($BN$2,0,0,ROW()-1,60),ROW()-1,FALSE))</f>
        <v>47198.663999999997</v>
      </c>
      <c r="AN62">
        <f ca="1">IF(AND(ISNUMBER($AN$202),$B$145=1),$AN$202,HLOOKUP(INDIRECT(ADDRESS(2,COLUMN())),OFFSET($BN$2,0,0,ROW()-1,60),ROW()-1,FALSE))</f>
        <v>47005.311000000002</v>
      </c>
      <c r="AO62">
        <f ca="1">IF(AND(ISNUMBER($AO$202),$B$145=1),$AO$202,HLOOKUP(INDIRECT(ADDRESS(2,COLUMN())),OFFSET($BN$2,0,0,ROW()-1,60),ROW()-1,FALSE))</f>
        <v>46479.927000000003</v>
      </c>
      <c r="AP62">
        <f ca="1">IF(AND(ISNUMBER($AP$202),$B$145=1),$AP$202,HLOOKUP(INDIRECT(ADDRESS(2,COLUMN())),OFFSET($BN$2,0,0,ROW()-1,60),ROW()-1,FALSE))</f>
        <v>43826.923000000003</v>
      </c>
      <c r="AQ62">
        <f ca="1">IF(AND(ISNUMBER($AQ$202),$B$145=1),$AQ$202,HLOOKUP(INDIRECT(ADDRESS(2,COLUMN())),OFFSET($BN$2,0,0,ROW()-1,60),ROW()-1,FALSE))</f>
        <v>43493.932000000001</v>
      </c>
      <c r="AR62">
        <f ca="1">IF(AND(ISNUMBER($AR$202),$B$145=1),$AR$202,HLOOKUP(INDIRECT(ADDRESS(2,COLUMN())),OFFSET($BN$2,0,0,ROW()-1,60),ROW()-1,FALSE))</f>
        <v>40620.419000000002</v>
      </c>
      <c r="AS62">
        <f ca="1">IF(AND(ISNUMBER($AS$202),$B$145=1),$AS$202,HLOOKUP(INDIRECT(ADDRESS(2,COLUMN())),OFFSET($BN$2,0,0,ROW()-1,60),ROW()-1,FALSE))</f>
        <v>42089.21</v>
      </c>
      <c r="AT62">
        <f ca="1">IF(AND(ISNUMBER($AT$202),$B$145=1),$AT$202,HLOOKUP(INDIRECT(ADDRESS(2,COLUMN())),OFFSET($BN$2,0,0,ROW()-1,60),ROW()-1,FALSE))</f>
        <v>41147.207999999999</v>
      </c>
      <c r="AU62">
        <f ca="1">IF(AND(ISNUMBER($AU$202),$B$145=1),$AU$202,HLOOKUP(INDIRECT(ADDRESS(2,COLUMN())),OFFSET($BN$2,0,0,ROW()-1,60),ROW()-1,FALSE))</f>
        <v>41891.790999999997</v>
      </c>
      <c r="AV62">
        <f ca="1">IF(AND(ISNUMBER($AV$202),$B$145=1),$AV$202,HLOOKUP(INDIRECT(ADDRESS(2,COLUMN())),OFFSET($BN$2,0,0,ROW()-1,60),ROW()-1,FALSE))</f>
        <v>41368.656000000003</v>
      </c>
      <c r="AW62">
        <f ca="1">IF(AND(ISNUMBER($AW$202),$B$145=1),$AW$202,HLOOKUP(INDIRECT(ADDRESS(2,COLUMN())),OFFSET($BN$2,0,0,ROW()-1,60),ROW()-1,FALSE))</f>
        <v>41308.559000000001</v>
      </c>
      <c r="AX62">
        <f ca="1">IF(AND(ISNUMBER($AX$202),$B$145=1),$AX$202,HLOOKUP(INDIRECT(ADDRESS(2,COLUMN())),OFFSET($BN$2,0,0,ROW()-1,60),ROW()-1,FALSE))</f>
        <v>40204.660000000003</v>
      </c>
      <c r="AY62">
        <f ca="1">IF(AND(ISNUMBER($AY$202),$B$145=1),$AY$202,HLOOKUP(INDIRECT(ADDRESS(2,COLUMN())),OFFSET($BN$2,0,0,ROW()-1,60),ROW()-1,FALSE))</f>
        <v>36393.646999999997</v>
      </c>
      <c r="AZ62">
        <f ca="1">IF(AND(ISNUMBER($AZ$202),$B$145=1),$AZ$202,HLOOKUP(INDIRECT(ADDRESS(2,COLUMN())),OFFSET($BN$2,0,0,ROW()-1,60),ROW()-1,FALSE))</f>
        <v>38227.559000000001</v>
      </c>
      <c r="BA62">
        <f ca="1">IF(AND(ISNUMBER($BA$202),$B$145=1),$BA$202,HLOOKUP(INDIRECT(ADDRESS(2,COLUMN())),OFFSET($BN$2,0,0,ROW()-1,60),ROW()-1,FALSE))</f>
        <v>37288.548999999999</v>
      </c>
      <c r="BB62">
        <f ca="1">IF(AND(ISNUMBER($BB$202),$B$145=1),$BB$202,HLOOKUP(INDIRECT(ADDRESS(2,COLUMN())),OFFSET($BN$2,0,0,ROW()-1,60),ROW()-1,FALSE))</f>
        <v>38731.660000000003</v>
      </c>
      <c r="BC62">
        <f ca="1">IF(AND(ISNUMBER($BC$202),$B$145=1),$BC$202,HLOOKUP(INDIRECT(ADDRESS(2,COLUMN())),OFFSET($BN$2,0,0,ROW()-1,60),ROW()-1,FALSE))</f>
        <v>37237.745000000003</v>
      </c>
      <c r="BD62">
        <f ca="1">IF(AND(ISNUMBER($BD$202),$B$145=1),$BD$202,HLOOKUP(INDIRECT(ADDRESS(2,COLUMN())),OFFSET($BN$2,0,0,ROW()-1,60),ROW()-1,FALSE))</f>
        <v>37642.955000000002</v>
      </c>
      <c r="BE62">
        <f ca="1">IF(AND(ISNUMBER($BE$202),$B$145=1),$BE$202,HLOOKUP(INDIRECT(ADDRESS(2,COLUMN())),OFFSET($BN$2,0,0,ROW()-1,60),ROW()-1,FALSE))</f>
        <v>37865.072999999997</v>
      </c>
      <c r="BF62">
        <f ca="1">IF(AND(ISNUMBER($BF$202),$B$145=1),$BF$202,HLOOKUP(INDIRECT(ADDRESS(2,COLUMN())),OFFSET($BN$2,0,0,ROW()-1,60),ROW()-1,FALSE))</f>
        <v>36407.224999999999</v>
      </c>
      <c r="BG62">
        <f ca="1">IF(AND(ISNUMBER($BG$202),$B$145=1),$BG$202,HLOOKUP(INDIRECT(ADDRESS(2,COLUMN())),OFFSET($BN$2,0,0,ROW()-1,60),ROW()-1,FALSE))</f>
        <v>32784.584999999999</v>
      </c>
      <c r="BH62">
        <f ca="1">IF(AND(ISNUMBER($BH$202),$B$145=1),$BH$202,HLOOKUP(INDIRECT(ADDRESS(2,COLUMN())),OFFSET($BN$2,0,0,ROW()-1,60),ROW()-1,FALSE))</f>
        <v>27961.501</v>
      </c>
      <c r="BI62">
        <f ca="1">IF(AND(ISNUMBER($BI$202),$B$145=1),$BI$202,HLOOKUP(INDIRECT(ADDRESS(2,COLUMN())),OFFSET($BN$2,0,0,ROW()-1,60),ROW()-1,FALSE))</f>
        <v>26219.155999999999</v>
      </c>
      <c r="BJ62">
        <f ca="1">IF(AND(ISNUMBER($BJ$202),$B$145=1),$BJ$202,HLOOKUP(INDIRECT(ADDRESS(2,COLUMN())),OFFSET($BN$2,0,0,ROW()-1,60),ROW()-1,FALSE))</f>
        <v>23169.776999999998</v>
      </c>
      <c r="BK62">
        <f ca="1">IF(AND(ISNUMBER($BK$202),$B$145=1),$BK$202,HLOOKUP(INDIRECT(ADDRESS(2,COLUMN())),OFFSET($BN$2,0,0,ROW()-1,60),ROW()-1,FALSE))</f>
        <v>24496.758999999998</v>
      </c>
      <c r="BL62">
        <f ca="1">IF(AND(ISNUMBER($BL$202),$B$145=1),$BL$202,HLOOKUP(INDIRECT(ADDRESS(2,COLUMN())),OFFSET($BN$2,0,0,ROW()-1,60),ROW()-1,FALSE))</f>
        <v>23661.855</v>
      </c>
      <c r="BM62" t="str">
        <f ca="1">IF(AND(ISNUMBER($BM$202),$B$145=1),$BM$202,HLOOKUP(INDIRECT(ADDRESS(2,COLUMN())),OFFSET($BN$2,0,0,ROW()-1,60),ROW()-1,FALSE))</f>
        <v/>
      </c>
      <c r="BN62">
        <f>118104</f>
        <v>118104</v>
      </c>
      <c r="BO62">
        <f>115606</f>
        <v>115606</v>
      </c>
      <c r="BP62">
        <f>108416</f>
        <v>108416</v>
      </c>
      <c r="BQ62">
        <f>119419</f>
        <v>119419</v>
      </c>
      <c r="BR62">
        <f>121473</f>
        <v>121473</v>
      </c>
      <c r="BS62">
        <f>120059</f>
        <v>120059</v>
      </c>
      <c r="BT62">
        <f>124923</f>
        <v>124923</v>
      </c>
      <c r="BU62">
        <f>128790</f>
        <v>128790</v>
      </c>
      <c r="BV62">
        <f>129514</f>
        <v>129514</v>
      </c>
      <c r="BW62">
        <f>131732</f>
        <v>131732</v>
      </c>
      <c r="BX62">
        <f>139359</f>
        <v>139359</v>
      </c>
      <c r="BY62">
        <f>146415</f>
        <v>146415</v>
      </c>
      <c r="BZ62">
        <f>154617</f>
        <v>154617</v>
      </c>
      <c r="CA62">
        <f>151038</f>
        <v>151038</v>
      </c>
      <c r="CB62">
        <f>139879</f>
        <v>139879</v>
      </c>
      <c r="CC62">
        <f>123807</f>
        <v>123807</v>
      </c>
      <c r="CD62">
        <f>120788</f>
        <v>120788</v>
      </c>
      <c r="CE62">
        <f>86132</f>
        <v>86132</v>
      </c>
      <c r="CF62">
        <f>77805</f>
        <v>77805</v>
      </c>
      <c r="CG62">
        <f>78398</f>
        <v>78398</v>
      </c>
      <c r="CH62">
        <f>74727</f>
        <v>74727</v>
      </c>
      <c r="CI62">
        <f>54765</f>
        <v>54765</v>
      </c>
      <c r="CJ62">
        <f>45289</f>
        <v>45289</v>
      </c>
      <c r="CK62">
        <f>46410</f>
        <v>46410</v>
      </c>
      <c r="CL62">
        <f>45590</f>
        <v>45590</v>
      </c>
      <c r="CM62">
        <f>45368</f>
        <v>45368</v>
      </c>
      <c r="CN62">
        <f>45668</f>
        <v>45668</v>
      </c>
      <c r="CO62">
        <f>47407</f>
        <v>47407</v>
      </c>
      <c r="CP62">
        <f>47574</f>
        <v>47574</v>
      </c>
      <c r="CQ62">
        <f>46631</f>
        <v>46631</v>
      </c>
      <c r="CR62">
        <f>45283</f>
        <v>45283</v>
      </c>
      <c r="CS62">
        <f>44877.181</f>
        <v>44877.180999999997</v>
      </c>
      <c r="CT62">
        <f>43605.296</f>
        <v>43605.296000000002</v>
      </c>
      <c r="CU62">
        <f>47198.664</f>
        <v>47198.663999999997</v>
      </c>
      <c r="CV62">
        <f>47005.311</f>
        <v>47005.311000000002</v>
      </c>
      <c r="CW62">
        <f>46479.927</f>
        <v>46479.927000000003</v>
      </c>
      <c r="CX62">
        <f>43826.923</f>
        <v>43826.923000000003</v>
      </c>
      <c r="CY62">
        <f>43493.932</f>
        <v>43493.932000000001</v>
      </c>
      <c r="CZ62">
        <f>40620.419</f>
        <v>40620.419000000002</v>
      </c>
      <c r="DA62">
        <f>42089.21</f>
        <v>42089.21</v>
      </c>
      <c r="DB62">
        <f>41147.208</f>
        <v>41147.207999999999</v>
      </c>
      <c r="DC62">
        <f>41891.791</f>
        <v>41891.790999999997</v>
      </c>
      <c r="DD62">
        <f>41368.656</f>
        <v>41368.656000000003</v>
      </c>
      <c r="DE62">
        <f>41308.559</f>
        <v>41308.559000000001</v>
      </c>
      <c r="DF62">
        <f>40204.66</f>
        <v>40204.660000000003</v>
      </c>
      <c r="DG62">
        <f>36393.647</f>
        <v>36393.646999999997</v>
      </c>
      <c r="DH62">
        <f>38227.559</f>
        <v>38227.559000000001</v>
      </c>
      <c r="DI62">
        <f>37288.549</f>
        <v>37288.548999999999</v>
      </c>
      <c r="DJ62">
        <f>38731.66</f>
        <v>38731.660000000003</v>
      </c>
      <c r="DK62">
        <f>37237.745</f>
        <v>37237.745000000003</v>
      </c>
      <c r="DL62">
        <f>37642.955</f>
        <v>37642.955000000002</v>
      </c>
      <c r="DM62">
        <f>37865.073</f>
        <v>37865.072999999997</v>
      </c>
      <c r="DN62">
        <f>36407.225</f>
        <v>36407.224999999999</v>
      </c>
      <c r="DO62">
        <f>32784.585</f>
        <v>32784.584999999999</v>
      </c>
      <c r="DP62">
        <f>27961.501</f>
        <v>27961.501</v>
      </c>
      <c r="DQ62">
        <f>26219.156</f>
        <v>26219.155999999999</v>
      </c>
      <c r="DR62">
        <f>23169.777</f>
        <v>23169.776999999998</v>
      </c>
      <c r="DS62">
        <f>24496.759</f>
        <v>24496.758999999998</v>
      </c>
      <c r="DT62">
        <f>23661.855</f>
        <v>23661.855</v>
      </c>
      <c r="DU62" t="str">
        <f>""</f>
        <v/>
      </c>
    </row>
    <row r="63" spans="1:125" x14ac:dyDescent="0.25">
      <c r="A63" t="str">
        <f>"                US Bancorp"</f>
        <v xml:space="preserve">                US Bancorp</v>
      </c>
      <c r="B63" t="str">
        <f>"USB US Equity"</f>
        <v>USB US Equity</v>
      </c>
      <c r="C63" t="str">
        <f t="shared" si="6"/>
        <v>FC023</v>
      </c>
      <c r="D63" t="str">
        <f t="shared" si="7"/>
        <v>FDIC_TOTAL_SECURITIES</v>
      </c>
      <c r="E63" t="str">
        <f t="shared" si="8"/>
        <v>Dynamic</v>
      </c>
      <c r="F63">
        <f ca="1">IF(AND(ISNUMBER($F$203),$B$145=1),$F$203,HLOOKUP(INDIRECT(ADDRESS(2,COLUMN())),OFFSET($BN$2,0,0,ROW()-1,60),ROW()-1,FALSE))</f>
        <v>164626</v>
      </c>
      <c r="G63">
        <f ca="1">IF(AND(ISNUMBER($G$203),$B$145=1),$G$203,HLOOKUP(INDIRECT(ADDRESS(2,COLUMN())),OFFSET($BN$2,0,0,ROW()-1,60),ROW()-1,FALSE))</f>
        <v>161729</v>
      </c>
      <c r="H63">
        <f ca="1">IF(AND(ISNUMBER($H$203),$B$145=1),$H$203,HLOOKUP(INDIRECT(ADDRESS(2,COLUMN())),OFFSET($BN$2,0,0,ROW()-1,60),ROW()-1,FALSE))</f>
        <v>161285</v>
      </c>
      <c r="I63">
        <f ca="1">IF(AND(ISNUMBER($I$203),$B$145=1),$I$203,HLOOKUP(INDIRECT(ADDRESS(2,COLUMN())),OFFSET($BN$2,0,0,ROW()-1,60),ROW()-1,FALSE))</f>
        <v>155374</v>
      </c>
      <c r="J63">
        <f ca="1">IF(AND(ISNUMBER($J$203),$B$145=1),$J$203,HLOOKUP(INDIRECT(ADDRESS(2,COLUMN())),OFFSET($BN$2,0,0,ROW()-1,60),ROW()-1,FALSE))</f>
        <v>153751</v>
      </c>
      <c r="K63">
        <f ca="1">IF(AND(ISNUMBER($K$203),$B$145=1),$K$203,HLOOKUP(INDIRECT(ADDRESS(2,COLUMN())),OFFSET($BN$2,0,0,ROW()-1,60),ROW()-1,FALSE))</f>
        <v>152549</v>
      </c>
      <c r="L63">
        <f ca="1">IF(AND(ISNUMBER($L$203),$B$145=1),$L$203,HLOOKUP(INDIRECT(ADDRESS(2,COLUMN())),OFFSET($BN$2,0,0,ROW()-1,60),ROW()-1,FALSE))</f>
        <v>156159</v>
      </c>
      <c r="M63">
        <f ca="1">IF(AND(ISNUMBER($M$203),$B$145=1),$M$203,HLOOKUP(INDIRECT(ADDRESS(2,COLUMN())),OFFSET($BN$2,0,0,ROW()-1,60),ROW()-1,FALSE))</f>
        <v>153953</v>
      </c>
      <c r="N63">
        <f ca="1">IF(AND(ISNUMBER($N$203),$B$145=1),$N$203,HLOOKUP(INDIRECT(ADDRESS(2,COLUMN())),OFFSET($BN$2,0,0,ROW()-1,60),ROW()-1,FALSE))</f>
        <v>161650</v>
      </c>
      <c r="O63">
        <f ca="1">IF(AND(ISNUMBER($O$203),$B$145=1),$O$203,HLOOKUP(INDIRECT(ADDRESS(2,COLUMN())),OFFSET($BN$2,0,0,ROW()-1,60),ROW()-1,FALSE))</f>
        <v>154097</v>
      </c>
      <c r="P63">
        <f ca="1">IF(AND(ISNUMBER($P$203),$B$145=1),$P$203,HLOOKUP(INDIRECT(ADDRESS(2,COLUMN())),OFFSET($BN$2,0,0,ROW()-1,60),ROW()-1,FALSE))</f>
        <v>160309</v>
      </c>
      <c r="Q63">
        <f ca="1">IF(AND(ISNUMBER($Q$203),$B$145=1),$Q$203,HLOOKUP(INDIRECT(ADDRESS(2,COLUMN())),OFFSET($BN$2,0,0,ROW()-1,60),ROW()-1,FALSE))</f>
        <v>167247</v>
      </c>
      <c r="R63">
        <f ca="1">IF(AND(ISNUMBER($R$203),$B$145=1),$R$203,HLOOKUP(INDIRECT(ADDRESS(2,COLUMN())),OFFSET($BN$2,0,0,ROW()-1,60),ROW()-1,FALSE))</f>
        <v>174821</v>
      </c>
      <c r="S63">
        <f ca="1">IF(AND(ISNUMBER($S$203),$B$145=1),$S$203,HLOOKUP(INDIRECT(ADDRESS(2,COLUMN())),OFFSET($BN$2,0,0,ROW()-1,60),ROW()-1,FALSE))</f>
        <v>149376</v>
      </c>
      <c r="T63">
        <f ca="1">IF(AND(ISNUMBER($T$203),$B$145=1),$T$203,HLOOKUP(INDIRECT(ADDRESS(2,COLUMN())),OFFSET($BN$2,0,0,ROW()-1,60),ROW()-1,FALSE))</f>
        <v>160288</v>
      </c>
      <c r="U63">
        <f ca="1">IF(AND(ISNUMBER($U$203),$B$145=1),$U$203,HLOOKUP(INDIRECT(ADDRESS(2,COLUMN())),OFFSET($BN$2,0,0,ROW()-1,60),ROW()-1,FALSE))</f>
        <v>156003</v>
      </c>
      <c r="V63">
        <f ca="1">IF(AND(ISNUMBER($V$203),$B$145=1),$V$203,HLOOKUP(INDIRECT(ADDRESS(2,COLUMN())),OFFSET($BN$2,0,0,ROW()-1,60),ROW()-1,FALSE))</f>
        <v>136840</v>
      </c>
      <c r="W63">
        <f ca="1">IF(AND(ISNUMBER($W$203),$B$145=1),$W$203,HLOOKUP(INDIRECT(ADDRESS(2,COLUMN())),OFFSET($BN$2,0,0,ROW()-1,60),ROW()-1,FALSE))</f>
        <v>134032</v>
      </c>
      <c r="X63">
        <f ca="1">IF(AND(ISNUMBER($X$203),$B$145=1),$X$203,HLOOKUP(INDIRECT(ADDRESS(2,COLUMN())),OFFSET($BN$2,0,0,ROW()-1,60),ROW()-1,FALSE))</f>
        <v>128120</v>
      </c>
      <c r="Y63">
        <f ca="1">IF(AND(ISNUMBER($Y$203),$B$145=1),$Y$203,HLOOKUP(INDIRECT(ADDRESS(2,COLUMN())),OFFSET($BN$2,0,0,ROW()-1,60),ROW()-1,FALSE))</f>
        <v>123681</v>
      </c>
      <c r="Z63">
        <f ca="1">IF(AND(ISNUMBER($Z$203),$B$145=1),$Z$203,HLOOKUP(INDIRECT(ADDRESS(2,COLUMN())),OFFSET($BN$2,0,0,ROW()-1,60),ROW()-1,FALSE))</f>
        <v>122613</v>
      </c>
      <c r="AA63">
        <f ca="1">IF(AND(ISNUMBER($AA$203),$B$145=1),$AA$203,HLOOKUP(INDIRECT(ADDRESS(2,COLUMN())),OFFSET($BN$2,0,0,ROW()-1,60),ROW()-1,FALSE))</f>
        <v>121079</v>
      </c>
      <c r="AB63">
        <f ca="1">IF(AND(ISNUMBER($AB$203),$B$145=1),$AB$203,HLOOKUP(INDIRECT(ADDRESS(2,COLUMN())),OFFSET($BN$2,0,0,ROW()-1,60),ROW()-1,FALSE))</f>
        <v>115580</v>
      </c>
      <c r="AC63">
        <f ca="1">IF(AND(ISNUMBER($AC$203),$B$145=1),$AC$203,HLOOKUP(INDIRECT(ADDRESS(2,COLUMN())),OFFSET($BN$2,0,0,ROW()-1,60),ROW()-1,FALSE))</f>
        <v>114398</v>
      </c>
      <c r="AD63">
        <f ca="1">IF(AND(ISNUMBER($AD$203),$B$145=1),$AD$203,HLOOKUP(INDIRECT(ADDRESS(2,COLUMN())),OFFSET($BN$2,0,0,ROW()-1,60),ROW()-1,FALSE))</f>
        <v>112165</v>
      </c>
      <c r="AE63">
        <f ca="1">IF(AND(ISNUMBER($AE$203),$B$145=1),$AE$203,HLOOKUP(INDIRECT(ADDRESS(2,COLUMN())),OFFSET($BN$2,0,0,ROW()-1,60),ROW()-1,FALSE))</f>
        <v>110958</v>
      </c>
      <c r="AF63">
        <f ca="1">IF(AND(ISNUMBER($AF$203),$B$145=1),$AF$203,HLOOKUP(INDIRECT(ADDRESS(2,COLUMN())),OFFSET($BN$2,0,0,ROW()-1,60),ROW()-1,FALSE))</f>
        <v>112402</v>
      </c>
      <c r="AG63">
        <f ca="1">IF(AND(ISNUMBER($AG$203),$B$145=1),$AG$203,HLOOKUP(INDIRECT(ADDRESS(2,COLUMN())),OFFSET($BN$2,0,0,ROW()-1,60),ROW()-1,FALSE))</f>
        <v>111737</v>
      </c>
      <c r="AH63">
        <f ca="1">IF(AND(ISNUMBER($AH$203),$B$145=1),$AH$203,HLOOKUP(INDIRECT(ADDRESS(2,COLUMN())),OFFSET($BN$2,0,0,ROW()-1,60),ROW()-1,FALSE))</f>
        <v>112499</v>
      </c>
      <c r="AI63">
        <f ca="1">IF(AND(ISNUMBER($AI$203),$B$145=1),$AI$203,HLOOKUP(INDIRECT(ADDRESS(2,COLUMN())),OFFSET($BN$2,0,0,ROW()-1,60),ROW()-1,FALSE))</f>
        <v>111790</v>
      </c>
      <c r="AJ63">
        <f ca="1">IF(AND(ISNUMBER($AJ$203),$B$145=1),$AJ$203,HLOOKUP(INDIRECT(ADDRESS(2,COLUMN())),OFFSET($BN$2,0,0,ROW()-1,60),ROW()-1,FALSE))</f>
        <v>111114</v>
      </c>
      <c r="AK63">
        <f ca="1">IF(AND(ISNUMBER($AK$203),$B$145=1),$AK$203,HLOOKUP(INDIRECT(ADDRESS(2,COLUMN())),OFFSET($BN$2,0,0,ROW()-1,60),ROW()-1,FALSE))</f>
        <v>110424</v>
      </c>
      <c r="AL63">
        <f ca="1">IF(AND(ISNUMBER($AL$203),$B$145=1),$AL$203,HLOOKUP(INDIRECT(ADDRESS(2,COLUMN())),OFFSET($BN$2,0,0,ROW()-1,60),ROW()-1,FALSE))</f>
        <v>109275</v>
      </c>
      <c r="AM63">
        <f ca="1">IF(AND(ISNUMBER($AM$203),$B$145=1),$AM$203,HLOOKUP(INDIRECT(ADDRESS(2,COLUMN())),OFFSET($BN$2,0,0,ROW()-1,60),ROW()-1,FALSE))</f>
        <v>110028</v>
      </c>
      <c r="AN63">
        <f ca="1">IF(AND(ISNUMBER($AN$203),$B$145=1),$AN$203,HLOOKUP(INDIRECT(ADDRESS(2,COLUMN())),OFFSET($BN$2,0,0,ROW()-1,60),ROW()-1,FALSE))</f>
        <v>108520</v>
      </c>
      <c r="AO63">
        <f ca="1">IF(AND(ISNUMBER($AO$203),$B$145=1),$AO$203,HLOOKUP(INDIRECT(ADDRESS(2,COLUMN())),OFFSET($BN$2,0,0,ROW()-1,60),ROW()-1,FALSE))</f>
        <v>107025</v>
      </c>
      <c r="AP63">
        <f ca="1">IF(AND(ISNUMBER($AP$203),$B$145=1),$AP$203,HLOOKUP(INDIRECT(ADDRESS(2,COLUMN())),OFFSET($BN$2,0,0,ROW()-1,60),ROW()-1,FALSE))</f>
        <v>105587</v>
      </c>
      <c r="AQ63">
        <f ca="1">IF(AND(ISNUMBER($AQ$203),$B$145=1),$AQ$203,HLOOKUP(INDIRECT(ADDRESS(2,COLUMN())),OFFSET($BN$2,0,0,ROW()-1,60),ROW()-1,FALSE))</f>
        <v>105086</v>
      </c>
      <c r="AR63">
        <f ca="1">IF(AND(ISNUMBER($AR$203),$B$145=1),$AR$203,HLOOKUP(INDIRECT(ADDRESS(2,COLUMN())),OFFSET($BN$2,0,0,ROW()-1,60),ROW()-1,FALSE))</f>
        <v>103311</v>
      </c>
      <c r="AS63">
        <f ca="1">IF(AND(ISNUMBER($AS$203),$B$145=1),$AS$203,HLOOKUP(INDIRECT(ADDRESS(2,COLUMN())),OFFSET($BN$2,0,0,ROW()-1,60),ROW()-1,FALSE))</f>
        <v>102423</v>
      </c>
      <c r="AT63">
        <f ca="1">IF(AND(ISNUMBER($AT$203),$B$145=1),$AT$203,HLOOKUP(INDIRECT(ADDRESS(2,COLUMN())),OFFSET($BN$2,0,0,ROW()-1,60),ROW()-1,FALSE))</f>
        <v>101043</v>
      </c>
      <c r="AU63">
        <f ca="1">IF(AND(ISNUMBER($AU$203),$B$145=1),$AU$203,HLOOKUP(INDIRECT(ADDRESS(2,COLUMN())),OFFSET($BN$2,0,0,ROW()-1,60),ROW()-1,FALSE))</f>
        <v>96905</v>
      </c>
      <c r="AV63">
        <f ca="1">IF(AND(ISNUMBER($AV$203),$B$145=1),$AV$203,HLOOKUP(INDIRECT(ADDRESS(2,COLUMN())),OFFSET($BN$2,0,0,ROW()-1,60),ROW()-1,FALSE))</f>
        <v>90384</v>
      </c>
      <c r="AW63">
        <f ca="1">IF(AND(ISNUMBER($AW$203),$B$145=1),$AW$203,HLOOKUP(INDIRECT(ADDRESS(2,COLUMN())),OFFSET($BN$2,0,0,ROW()-1,60),ROW()-1,FALSE))</f>
        <v>85473</v>
      </c>
      <c r="AX63">
        <f ca="1">IF(AND(ISNUMBER($AX$203),$B$145=1),$AX$203,HLOOKUP(INDIRECT(ADDRESS(2,COLUMN())),OFFSET($BN$2,0,0,ROW()-1,60),ROW()-1,FALSE))</f>
        <v>79855</v>
      </c>
      <c r="AY63">
        <f ca="1">IF(AND(ISNUMBER($AY$203),$B$145=1),$AY$203,HLOOKUP(INDIRECT(ADDRESS(2,COLUMN())),OFFSET($BN$2,0,0,ROW()-1,60),ROW()-1,FALSE))</f>
        <v>76211</v>
      </c>
      <c r="AZ63">
        <f ca="1">IF(AND(ISNUMBER($AZ$203),$B$145=1),$AZ$203,HLOOKUP(INDIRECT(ADDRESS(2,COLUMN())),OFFSET($BN$2,0,0,ROW()-1,60),ROW()-1,FALSE))</f>
        <v>74975</v>
      </c>
      <c r="BA63">
        <f ca="1">IF(AND(ISNUMBER($BA$203),$B$145=1),$BA$203,HLOOKUP(INDIRECT(ADDRESS(2,COLUMN())),OFFSET($BN$2,0,0,ROW()-1,60),ROW()-1,FALSE))</f>
        <v>75286</v>
      </c>
      <c r="BB63">
        <f ca="1">IF(AND(ISNUMBER($BB$203),$B$145=1),$BB$203,HLOOKUP(INDIRECT(ADDRESS(2,COLUMN())),OFFSET($BN$2,0,0,ROW()-1,60),ROW()-1,FALSE))</f>
        <v>74528</v>
      </c>
      <c r="BC63">
        <f ca="1">IF(AND(ISNUMBER($BC$203),$B$145=1),$BC$203,HLOOKUP(INDIRECT(ADDRESS(2,COLUMN())),OFFSET($BN$2,0,0,ROW()-1,60),ROW()-1,FALSE))</f>
        <v>74145</v>
      </c>
      <c r="BD63">
        <f ca="1">IF(AND(ISNUMBER($BD$203),$B$145=1),$BD$203,HLOOKUP(INDIRECT(ADDRESS(2,COLUMN())),OFFSET($BN$2,0,0,ROW()-1,60),ROW()-1,FALSE))</f>
        <v>73948</v>
      </c>
      <c r="BE63">
        <f ca="1">IF(AND(ISNUMBER($BE$203),$B$145=1),$BE$203,HLOOKUP(INDIRECT(ADDRESS(2,COLUMN())),OFFSET($BN$2,0,0,ROW()-1,60),ROW()-1,FALSE))</f>
        <v>74254</v>
      </c>
      <c r="BF63">
        <f ca="1">IF(AND(ISNUMBER($BF$203),$B$145=1),$BF$203,HLOOKUP(INDIRECT(ADDRESS(2,COLUMN())),OFFSET($BN$2,0,0,ROW()-1,60),ROW()-1,FALSE))</f>
        <v>70814</v>
      </c>
      <c r="BG63">
        <f ca="1">IF(AND(ISNUMBER($BG$203),$B$145=1),$BG$203,HLOOKUP(INDIRECT(ADDRESS(2,COLUMN())),OFFSET($BN$2,0,0,ROW()-1,60),ROW()-1,FALSE))</f>
        <v>68378</v>
      </c>
      <c r="BH63">
        <f ca="1">IF(AND(ISNUMBER($BH$203),$B$145=1),$BH$203,HLOOKUP(INDIRECT(ADDRESS(2,COLUMN())),OFFSET($BN$2,0,0,ROW()-1,60),ROW()-1,FALSE))</f>
        <v>65579</v>
      </c>
      <c r="BI63">
        <f ca="1">IF(AND(ISNUMBER($BI$203),$B$145=1),$BI$203,HLOOKUP(INDIRECT(ADDRESS(2,COLUMN())),OFFSET($BN$2,0,0,ROW()-1,60),ROW()-1,FALSE))</f>
        <v>60461</v>
      </c>
      <c r="BJ63">
        <f ca="1">IF(AND(ISNUMBER($BJ$203),$B$145=1),$BJ$203,HLOOKUP(INDIRECT(ADDRESS(2,COLUMN())),OFFSET($BN$2,0,0,ROW()-1,60),ROW()-1,FALSE))</f>
        <v>52978</v>
      </c>
      <c r="BK63">
        <f ca="1">IF(AND(ISNUMBER($BK$203),$B$145=1),$BK$203,HLOOKUP(INDIRECT(ADDRESS(2,COLUMN())),OFFSET($BN$2,0,0,ROW()-1,60),ROW()-1,FALSE))</f>
        <v>48963</v>
      </c>
      <c r="BL63">
        <f ca="1">IF(AND(ISNUMBER($BL$203),$B$145=1),$BL$203,HLOOKUP(INDIRECT(ADDRESS(2,COLUMN())),OFFSET($BN$2,0,0,ROW()-1,60),ROW()-1,FALSE))</f>
        <v>48367</v>
      </c>
      <c r="BM63" t="str">
        <f ca="1">IF(AND(ISNUMBER($BM$203),$B$145=1),$BM$203,HLOOKUP(INDIRECT(ADDRESS(2,COLUMN())),OFFSET($BN$2,0,0,ROW()-1,60),ROW()-1,FALSE))</f>
        <v/>
      </c>
      <c r="BN63">
        <f>164626</f>
        <v>164626</v>
      </c>
      <c r="BO63">
        <f>161729</f>
        <v>161729</v>
      </c>
      <c r="BP63">
        <f>161285</f>
        <v>161285</v>
      </c>
      <c r="BQ63">
        <f>155374</f>
        <v>155374</v>
      </c>
      <c r="BR63">
        <f>153751</f>
        <v>153751</v>
      </c>
      <c r="BS63">
        <f>152549</f>
        <v>152549</v>
      </c>
      <c r="BT63">
        <f>156159</f>
        <v>156159</v>
      </c>
      <c r="BU63">
        <f>153953</f>
        <v>153953</v>
      </c>
      <c r="BV63">
        <f>161650</f>
        <v>161650</v>
      </c>
      <c r="BW63">
        <f>154097</f>
        <v>154097</v>
      </c>
      <c r="BX63">
        <f>160309</f>
        <v>160309</v>
      </c>
      <c r="BY63">
        <f>167247</f>
        <v>167247</v>
      </c>
      <c r="BZ63">
        <f>174821</f>
        <v>174821</v>
      </c>
      <c r="CA63">
        <f>149376</f>
        <v>149376</v>
      </c>
      <c r="CB63">
        <f>160288</f>
        <v>160288</v>
      </c>
      <c r="CC63">
        <f>156003</f>
        <v>156003</v>
      </c>
      <c r="CD63">
        <f>136840</f>
        <v>136840</v>
      </c>
      <c r="CE63">
        <f>134032</f>
        <v>134032</v>
      </c>
      <c r="CF63">
        <f>128120</f>
        <v>128120</v>
      </c>
      <c r="CG63">
        <f>123681</f>
        <v>123681</v>
      </c>
      <c r="CH63">
        <f>122613</f>
        <v>122613</v>
      </c>
      <c r="CI63">
        <f>121079</f>
        <v>121079</v>
      </c>
      <c r="CJ63">
        <f>115580</f>
        <v>115580</v>
      </c>
      <c r="CK63">
        <f>114398</f>
        <v>114398</v>
      </c>
      <c r="CL63">
        <f>112165</f>
        <v>112165</v>
      </c>
      <c r="CM63">
        <f>110958</f>
        <v>110958</v>
      </c>
      <c r="CN63">
        <f>112402</f>
        <v>112402</v>
      </c>
      <c r="CO63">
        <f>111737</f>
        <v>111737</v>
      </c>
      <c r="CP63">
        <f>112499</f>
        <v>112499</v>
      </c>
      <c r="CQ63">
        <f>111790</f>
        <v>111790</v>
      </c>
      <c r="CR63">
        <f>111114</f>
        <v>111114</v>
      </c>
      <c r="CS63">
        <f>110424</f>
        <v>110424</v>
      </c>
      <c r="CT63">
        <f>109275</f>
        <v>109275</v>
      </c>
      <c r="CU63">
        <f>110028</f>
        <v>110028</v>
      </c>
      <c r="CV63">
        <f>108520</f>
        <v>108520</v>
      </c>
      <c r="CW63">
        <f>107025</f>
        <v>107025</v>
      </c>
      <c r="CX63">
        <f>105587</f>
        <v>105587</v>
      </c>
      <c r="CY63">
        <f>105086</f>
        <v>105086</v>
      </c>
      <c r="CZ63">
        <f>103311</f>
        <v>103311</v>
      </c>
      <c r="DA63">
        <f>102423</f>
        <v>102423</v>
      </c>
      <c r="DB63">
        <f>101043</f>
        <v>101043</v>
      </c>
      <c r="DC63">
        <f>96905</f>
        <v>96905</v>
      </c>
      <c r="DD63">
        <f>90384</f>
        <v>90384</v>
      </c>
      <c r="DE63">
        <f>85473</f>
        <v>85473</v>
      </c>
      <c r="DF63">
        <f>79855</f>
        <v>79855</v>
      </c>
      <c r="DG63">
        <f>76211</f>
        <v>76211</v>
      </c>
      <c r="DH63">
        <f>74975</f>
        <v>74975</v>
      </c>
      <c r="DI63">
        <f>75286</f>
        <v>75286</v>
      </c>
      <c r="DJ63">
        <f>74528</f>
        <v>74528</v>
      </c>
      <c r="DK63">
        <f>74145</f>
        <v>74145</v>
      </c>
      <c r="DL63">
        <f>73948</f>
        <v>73948</v>
      </c>
      <c r="DM63">
        <f>74254</f>
        <v>74254</v>
      </c>
      <c r="DN63">
        <f>70814</f>
        <v>70814</v>
      </c>
      <c r="DO63">
        <f>68378</f>
        <v>68378</v>
      </c>
      <c r="DP63">
        <f>65579</f>
        <v>65579</v>
      </c>
      <c r="DQ63">
        <f>60461</f>
        <v>60461</v>
      </c>
      <c r="DR63">
        <f>52978</f>
        <v>52978</v>
      </c>
      <c r="DS63">
        <f>48963</f>
        <v>48963</v>
      </c>
      <c r="DT63">
        <f>48367</f>
        <v>48367</v>
      </c>
      <c r="DU63" t="str">
        <f>""</f>
        <v/>
      </c>
    </row>
    <row r="64" spans="1:125" x14ac:dyDescent="0.25">
      <c r="A64" t="str">
        <f>"                Wells Fargo &amp; Co"</f>
        <v xml:space="preserve">                Wells Fargo &amp; Co</v>
      </c>
      <c r="B64" t="str">
        <f>"WFC US Equity"</f>
        <v>WFC US Equity</v>
      </c>
      <c r="C64" t="str">
        <f t="shared" si="6"/>
        <v>FC023</v>
      </c>
      <c r="D64" t="str">
        <f t="shared" si="7"/>
        <v>FDIC_TOTAL_SECURITIES</v>
      </c>
      <c r="E64" t="str">
        <f t="shared" si="8"/>
        <v>Dynamic</v>
      </c>
      <c r="F64">
        <f ca="1">IF(AND(ISNUMBER($F$204),$B$145=1),$F$204,HLOOKUP(INDIRECT(ADDRESS(2,COLUMN())),OFFSET($BN$2,0,0,ROW()-1,60),ROW()-1,FALSE))</f>
        <v>398021</v>
      </c>
      <c r="G64">
        <f ca="1">IF(AND(ISNUMBER($G$204),$B$145=1),$G$204,HLOOKUP(INDIRECT(ADDRESS(2,COLUMN())),OFFSET($BN$2,0,0,ROW()-1,60),ROW()-1,FALSE))</f>
        <v>409245</v>
      </c>
      <c r="H64">
        <f ca="1">IF(AND(ISNUMBER($H$204),$B$145=1),$H$204,HLOOKUP(INDIRECT(ADDRESS(2,COLUMN())),OFFSET($BN$2,0,0,ROW()-1,60),ROW()-1,FALSE))</f>
        <v>399585</v>
      </c>
      <c r="I64">
        <f ca="1">IF(AND(ISNUMBER($I$204),$B$145=1),$I$204,HLOOKUP(INDIRECT(ADDRESS(2,COLUMN())),OFFSET($BN$2,0,0,ROW()-1,60),ROW()-1,FALSE))</f>
        <v>397051</v>
      </c>
      <c r="J64">
        <f ca="1">IF(AND(ISNUMBER($J$204),$B$145=1),$J$204,HLOOKUP(INDIRECT(ADDRESS(2,COLUMN())),OFFSET($BN$2,0,0,ROW()-1,60),ROW()-1,FALSE))</f>
        <v>393249</v>
      </c>
      <c r="K64">
        <f ca="1">IF(AND(ISNUMBER($K$204),$B$145=1),$K$204,HLOOKUP(INDIRECT(ADDRESS(2,COLUMN())),OFFSET($BN$2,0,0,ROW()-1,60),ROW()-1,FALSE))</f>
        <v>393738</v>
      </c>
      <c r="L64">
        <f ca="1">IF(AND(ISNUMBER($L$204),$B$145=1),$L$204,HLOOKUP(INDIRECT(ADDRESS(2,COLUMN())),OFFSET($BN$2,0,0,ROW()-1,60),ROW()-1,FALSE))</f>
        <v>406687</v>
      </c>
      <c r="M64">
        <f ca="1">IF(AND(ISNUMBER($M$204),$B$145=1),$M$204,HLOOKUP(INDIRECT(ADDRESS(2,COLUMN())),OFFSET($BN$2,0,0,ROW()-1,60),ROW()-1,FALSE))</f>
        <v>421622</v>
      </c>
      <c r="N64">
        <f ca="1">IF(AND(ISNUMBER($N$204),$B$145=1),$N$204,HLOOKUP(INDIRECT(ADDRESS(2,COLUMN())),OFFSET($BN$2,0,0,ROW()-1,60),ROW()-1,FALSE))</f>
        <v>410738</v>
      </c>
      <c r="O64">
        <f ca="1">IF(AND(ISNUMBER($O$204),$B$145=1),$O$204,HLOOKUP(INDIRECT(ADDRESS(2,COLUMN())),OFFSET($BN$2,0,0,ROW()-1,60),ROW()-1,FALSE))</f>
        <v>416365</v>
      </c>
      <c r="P64">
        <f ca="1">IF(AND(ISNUMBER($P$204),$B$145=1),$P$204,HLOOKUP(INDIRECT(ADDRESS(2,COLUMN())),OFFSET($BN$2,0,0,ROW()-1,60),ROW()-1,FALSE))</f>
        <v>427698</v>
      </c>
      <c r="Q64">
        <f ca="1">IF(AND(ISNUMBER($Q$204),$B$145=1),$Q$204,HLOOKUP(INDIRECT(ADDRESS(2,COLUMN())),OFFSET($BN$2,0,0,ROW()-1,60),ROW()-1,FALSE))</f>
        <v>449327</v>
      </c>
      <c r="R64">
        <f ca="1">IF(AND(ISNUMBER($R$204),$B$145=1),$R$204,HLOOKUP(INDIRECT(ADDRESS(2,COLUMN())),OFFSET($BN$2,0,0,ROW()-1,60),ROW()-1,FALSE))</f>
        <v>449362</v>
      </c>
      <c r="S64">
        <f ca="1">IF(AND(ISNUMBER($S$204),$B$145=1),$S$204,HLOOKUP(INDIRECT(ADDRESS(2,COLUMN())),OFFSET($BN$2,0,0,ROW()-1,60),ROW()-1,FALSE))</f>
        <v>448123</v>
      </c>
      <c r="T64">
        <f ca="1">IF(AND(ISNUMBER($T$204),$B$145=1),$T$204,HLOOKUP(INDIRECT(ADDRESS(2,COLUMN())),OFFSET($BN$2,0,0,ROW()-1,60),ROW()-1,FALSE))</f>
        <v>450915</v>
      </c>
      <c r="U64">
        <f ca="1">IF(AND(ISNUMBER($U$204),$B$145=1),$U$204,HLOOKUP(INDIRECT(ADDRESS(2,COLUMN())),OFFSET($BN$2,0,0,ROW()-1,60),ROW()-1,FALSE))</f>
        <v>433130</v>
      </c>
      <c r="V64">
        <f ca="1">IF(AND(ISNUMBER($V$204),$B$145=1),$V$204,HLOOKUP(INDIRECT(ADDRESS(2,COLUMN())),OFFSET($BN$2,0,0,ROW()-1,60),ROW()-1,FALSE))</f>
        <v>426153</v>
      </c>
      <c r="W64">
        <f ca="1">IF(AND(ISNUMBER($W$204),$B$145=1),$W$204,HLOOKUP(INDIRECT(ADDRESS(2,COLUMN())),OFFSET($BN$2,0,0,ROW()-1,60),ROW()-1,FALSE))</f>
        <v>403194</v>
      </c>
      <c r="X64">
        <f ca="1">IF(AND(ISNUMBER($X$204),$B$145=1),$X$204,HLOOKUP(INDIRECT(ADDRESS(2,COLUMN())),OFFSET($BN$2,0,0,ROW()-1,60),ROW()-1,FALSE))</f>
        <v>397921</v>
      </c>
      <c r="Y64">
        <f ca="1">IF(AND(ISNUMBER($Y$204),$B$145=1),$Y$204,HLOOKUP(INDIRECT(ADDRESS(2,COLUMN())),OFFSET($BN$2,0,0,ROW()-1,60),ROW()-1,FALSE))</f>
        <v>421149</v>
      </c>
      <c r="Z64">
        <f ca="1">IF(AND(ISNUMBER($Z$204),$B$145=1),$Z$204,HLOOKUP(INDIRECT(ADDRESS(2,COLUMN())),OFFSET($BN$2,0,0,ROW()-1,60),ROW()-1,FALSE))</f>
        <v>417392</v>
      </c>
      <c r="AA64">
        <f ca="1">IF(AND(ISNUMBER($AA$204),$B$145=1),$AA$204,HLOOKUP(INDIRECT(ADDRESS(2,COLUMN())),OFFSET($BN$2,0,0,ROW()-1,60),ROW()-1,FALSE))</f>
        <v>424415</v>
      </c>
      <c r="AB64">
        <f ca="1">IF(AND(ISNUMBER($AB$204),$B$145=1),$AB$204,HLOOKUP(INDIRECT(ADDRESS(2,COLUMN())),OFFSET($BN$2,0,0,ROW()-1,60),ROW()-1,FALSE))</f>
        <v>411859</v>
      </c>
      <c r="AC64">
        <f ca="1">IF(AND(ISNUMBER($AC$204),$B$145=1),$AC$204,HLOOKUP(INDIRECT(ADDRESS(2,COLUMN())),OFFSET($BN$2,0,0,ROW()-1,60),ROW()-1,FALSE))</f>
        <v>413089</v>
      </c>
      <c r="AD64">
        <f ca="1">IF(AND(ISNUMBER($AD$204),$B$145=1),$AD$204,HLOOKUP(INDIRECT(ADDRESS(2,COLUMN())),OFFSET($BN$2,0,0,ROW()-1,60),ROW()-1,FALSE))</f>
        <v>414700</v>
      </c>
      <c r="AE64">
        <f ca="1">IF(AND(ISNUMBER($AE$204),$B$145=1),$AE$204,HLOOKUP(INDIRECT(ADDRESS(2,COLUMN())),OFFSET($BN$2,0,0,ROW()-1,60),ROW()-1,FALSE))</f>
        <v>407095</v>
      </c>
      <c r="AF64">
        <f ca="1">IF(AND(ISNUMBER($AF$204),$B$145=1),$AF$204,HLOOKUP(INDIRECT(ADDRESS(2,COLUMN())),OFFSET($BN$2,0,0,ROW()-1,60),ROW()-1,FALSE))</f>
        <v>409893</v>
      </c>
      <c r="AG64">
        <f ca="1">IF(AND(ISNUMBER($AG$204),$B$145=1),$AG$204,HLOOKUP(INDIRECT(ADDRESS(2,COLUMN())),OFFSET($BN$2,0,0,ROW()-1,60),ROW()-1,FALSE))</f>
        <v>413102</v>
      </c>
      <c r="AH64">
        <f ca="1">IF(AND(ISNUMBER($AH$204),$B$145=1),$AH$204,HLOOKUP(INDIRECT(ADDRESS(2,COLUMN())),OFFSET($BN$2,0,0,ROW()-1,60),ROW()-1,FALSE))</f>
        <v>417421</v>
      </c>
      <c r="AI64">
        <f ca="1">IF(AND(ISNUMBER($AI$204),$B$145=1),$AI$204,HLOOKUP(INDIRECT(ADDRESS(2,COLUMN())),OFFSET($BN$2,0,0,ROW()-1,60),ROW()-1,FALSE))</f>
        <v>415146</v>
      </c>
      <c r="AJ64">
        <f ca="1">IF(AND(ISNUMBER($AJ$204),$B$145=1),$AJ$204,HLOOKUP(INDIRECT(ADDRESS(2,COLUMN())),OFFSET($BN$2,0,0,ROW()-1,60),ROW()-1,FALSE))</f>
        <v>410557</v>
      </c>
      <c r="AK64">
        <f ca="1">IF(AND(ISNUMBER($AK$204),$B$145=1),$AK$204,HLOOKUP(INDIRECT(ADDRESS(2,COLUMN())),OFFSET($BN$2,0,0,ROW()-1,60),ROW()-1,FALSE))</f>
        <v>408683</v>
      </c>
      <c r="AL64">
        <f ca="1">IF(AND(ISNUMBER($AL$204),$B$145=1),$AL$204,HLOOKUP(INDIRECT(ADDRESS(2,COLUMN())),OFFSET($BN$2,0,0,ROW()-1,60),ROW()-1,FALSE))</f>
        <v>408737</v>
      </c>
      <c r="AM64">
        <f ca="1">IF(AND(ISNUMBER($AM$204),$B$145=1),$AM$204,HLOOKUP(INDIRECT(ADDRESS(2,COLUMN())),OFFSET($BN$2,0,0,ROW()-1,60),ROW()-1,FALSE))</f>
        <v>392675</v>
      </c>
      <c r="AN64">
        <f ca="1">IF(AND(ISNUMBER($AN$204),$B$145=1),$AN$204,HLOOKUP(INDIRECT(ADDRESS(2,COLUMN())),OFFSET($BN$2,0,0,ROW()-1,60),ROW()-1,FALSE))</f>
        <v>359930</v>
      </c>
      <c r="AO64">
        <f ca="1">IF(AND(ISNUMBER($AO$204),$B$145=1),$AO$204,HLOOKUP(INDIRECT(ADDRESS(2,COLUMN())),OFFSET($BN$2,0,0,ROW()-1,60),ROW()-1,FALSE))</f>
        <v>339887</v>
      </c>
      <c r="AP64">
        <f ca="1">IF(AND(ISNUMBER($AP$204),$B$145=1),$AP$204,HLOOKUP(INDIRECT(ADDRESS(2,COLUMN())),OFFSET($BN$2,0,0,ROW()-1,60),ROW()-1,FALSE))</f>
        <v>348017</v>
      </c>
      <c r="AQ64">
        <f ca="1">IF(AND(ISNUMBER($AQ$204),$B$145=1),$AQ$204,HLOOKUP(INDIRECT(ADDRESS(2,COLUMN())),OFFSET($BN$2,0,0,ROW()-1,60),ROW()-1,FALSE))</f>
        <v>345550</v>
      </c>
      <c r="AR64">
        <f ca="1">IF(AND(ISNUMBER($AR$204),$B$145=1),$AR$204,HLOOKUP(INDIRECT(ADDRESS(2,COLUMN())),OFFSET($BN$2,0,0,ROW()-1,60),ROW()-1,FALSE))</f>
        <v>340977</v>
      </c>
      <c r="AS64">
        <f ca="1">IF(AND(ISNUMBER($AS$204),$B$145=1),$AS$204,HLOOKUP(INDIRECT(ADDRESS(2,COLUMN())),OFFSET($BN$2,0,0,ROW()-1,60),ROW()-1,FALSE))</f>
        <v>325028</v>
      </c>
      <c r="AT64">
        <f ca="1">IF(AND(ISNUMBER($AT$204),$B$145=1),$AT$204,HLOOKUP(INDIRECT(ADDRESS(2,COLUMN())),OFFSET($BN$2,0,0,ROW()-1,60),ROW()-1,FALSE))</f>
        <v>313439</v>
      </c>
      <c r="AU64">
        <f ca="1">IF(AND(ISNUMBER($AU$204),$B$145=1),$AU$204,HLOOKUP(INDIRECT(ADDRESS(2,COLUMN())),OFFSET($BN$2,0,0,ROW()-1,60),ROW()-1,FALSE))</f>
        <v>290208</v>
      </c>
      <c r="AV64">
        <f ca="1">IF(AND(ISNUMBER($AV$204),$B$145=1),$AV$204,HLOOKUP(INDIRECT(ADDRESS(2,COLUMN())),OFFSET($BN$2,0,0,ROW()-1,60),ROW()-1,FALSE))</f>
        <v>279864</v>
      </c>
      <c r="AW64">
        <f ca="1">IF(AND(ISNUMBER($AW$204),$B$145=1),$AW$204,HLOOKUP(INDIRECT(ADDRESS(2,COLUMN())),OFFSET($BN$2,0,0,ROW()-1,60),ROW()-1,FALSE))</f>
        <v>271031</v>
      </c>
      <c r="AX64">
        <f ca="1">IF(AND(ISNUMBER($AX$204),$B$145=1),$AX$204,HLOOKUP(INDIRECT(ADDRESS(2,COLUMN())),OFFSET($BN$2,0,0,ROW()-1,60),ROW()-1,FALSE))</f>
        <v>265029</v>
      </c>
      <c r="AY64">
        <f ca="1">IF(AND(ISNUMBER($AY$204),$B$145=1),$AY$204,HLOOKUP(INDIRECT(ADDRESS(2,COLUMN())),OFFSET($BN$2,0,0,ROW()-1,60),ROW()-1,FALSE))</f>
        <v>259874</v>
      </c>
      <c r="AZ64">
        <f ca="1">IF(AND(ISNUMBER($AZ$204),$B$145=1),$AZ$204,HLOOKUP(INDIRECT(ADDRESS(2,COLUMN())),OFFSET($BN$2,0,0,ROW()-1,60),ROW()-1,FALSE))</f>
        <v>249439</v>
      </c>
      <c r="BA64">
        <f ca="1">IF(AND(ISNUMBER($BA$204),$B$145=1),$BA$204,HLOOKUP(INDIRECT(ADDRESS(2,COLUMN())),OFFSET($BN$2,0,0,ROW()-1,60),ROW()-1,FALSE))</f>
        <v>248160</v>
      </c>
      <c r="BB64">
        <f ca="1">IF(AND(ISNUMBER($BB$204),$B$145=1),$BB$204,HLOOKUP(INDIRECT(ADDRESS(2,COLUMN())),OFFSET($BN$2,0,0,ROW()-1,60),ROW()-1,FALSE))</f>
        <v>235199</v>
      </c>
      <c r="BC64">
        <f ca="1">IF(AND(ISNUMBER($BC$204),$B$145=1),$BC$204,HLOOKUP(INDIRECT(ADDRESS(2,COLUMN())),OFFSET($BN$2,0,0,ROW()-1,60),ROW()-1,FALSE))</f>
        <v>229350</v>
      </c>
      <c r="BD64">
        <f ca="1">IF(AND(ISNUMBER($BD$204),$B$145=1),$BD$204,HLOOKUP(INDIRECT(ADDRESS(2,COLUMN())),OFFSET($BN$2,0,0,ROW()-1,60),ROW()-1,FALSE))</f>
        <v>226846</v>
      </c>
      <c r="BE64">
        <f ca="1">IF(AND(ISNUMBER($BE$204),$B$145=1),$BE$204,HLOOKUP(INDIRECT(ADDRESS(2,COLUMN())),OFFSET($BN$2,0,0,ROW()-1,60),ROW()-1,FALSE))</f>
        <v>230266</v>
      </c>
      <c r="BF64">
        <f ca="1">IF(AND(ISNUMBER($BF$204),$B$145=1),$BF$204,HLOOKUP(INDIRECT(ADDRESS(2,COLUMN())),OFFSET($BN$2,0,0,ROW()-1,60),ROW()-1,FALSE))</f>
        <v>222613</v>
      </c>
      <c r="BG64">
        <f ca="1">IF(AND(ISNUMBER($BG$204),$B$145=1),$BG$204,HLOOKUP(INDIRECT(ADDRESS(2,COLUMN())),OFFSET($BN$2,0,0,ROW()-1,60),ROW()-1,FALSE))</f>
        <v>207176</v>
      </c>
      <c r="BH64">
        <f ca="1">IF(AND(ISNUMBER($BH$204),$B$145=1),$BH$204,HLOOKUP(INDIRECT(ADDRESS(2,COLUMN())),OFFSET($BN$2,0,0,ROW()-1,60),ROW()-1,FALSE))</f>
        <v>186298</v>
      </c>
      <c r="BI64">
        <f ca="1">IF(AND(ISNUMBER($BI$204),$B$145=1),$BI$204,HLOOKUP(INDIRECT(ADDRESS(2,COLUMN())),OFFSET($BN$2,0,0,ROW()-1,60),ROW()-1,FALSE))</f>
        <v>167906</v>
      </c>
      <c r="BJ64">
        <f ca="1">IF(AND(ISNUMBER($BJ$204),$B$145=1),$BJ$204,HLOOKUP(INDIRECT(ADDRESS(2,COLUMN())),OFFSET($BN$2,0,0,ROW()-1,60),ROW()-1,FALSE))</f>
        <v>172654</v>
      </c>
      <c r="BK64">
        <f ca="1">IF(AND(ISNUMBER($BK$204),$B$145=1),$BK$204,HLOOKUP(INDIRECT(ADDRESS(2,COLUMN())),OFFSET($BN$2,0,0,ROW()-1,60),ROW()-1,FALSE))</f>
        <v>176875</v>
      </c>
      <c r="BL64">
        <f ca="1">IF(AND(ISNUMBER($BL$204),$B$145=1),$BL$204,HLOOKUP(INDIRECT(ADDRESS(2,COLUMN())),OFFSET($BN$2,0,0,ROW()-1,60),ROW()-1,FALSE))</f>
        <v>157931</v>
      </c>
      <c r="BM64" t="str">
        <f ca="1">IF(AND(ISNUMBER($BM$204),$B$145=1),$BM$204,HLOOKUP(INDIRECT(ADDRESS(2,COLUMN())),OFFSET($BN$2,0,0,ROW()-1,60),ROW()-1,FALSE))</f>
        <v/>
      </c>
      <c r="BN64">
        <f>398021</f>
        <v>398021</v>
      </c>
      <c r="BO64">
        <f>409245</f>
        <v>409245</v>
      </c>
      <c r="BP64">
        <f>399585</f>
        <v>399585</v>
      </c>
      <c r="BQ64">
        <f>397051</f>
        <v>397051</v>
      </c>
      <c r="BR64">
        <f>393249</f>
        <v>393249</v>
      </c>
      <c r="BS64">
        <f>393738</f>
        <v>393738</v>
      </c>
      <c r="BT64">
        <f>406687</f>
        <v>406687</v>
      </c>
      <c r="BU64">
        <f>421622</f>
        <v>421622</v>
      </c>
      <c r="BV64">
        <f>410738</f>
        <v>410738</v>
      </c>
      <c r="BW64">
        <f>416365</f>
        <v>416365</v>
      </c>
      <c r="BX64">
        <f>427698</f>
        <v>427698</v>
      </c>
      <c r="BY64">
        <f>449327</f>
        <v>449327</v>
      </c>
      <c r="BZ64">
        <f>449362</f>
        <v>449362</v>
      </c>
      <c r="CA64">
        <f>448123</f>
        <v>448123</v>
      </c>
      <c r="CB64">
        <f>450915</f>
        <v>450915</v>
      </c>
      <c r="CC64">
        <f>433130</f>
        <v>433130</v>
      </c>
      <c r="CD64">
        <f>426153</f>
        <v>426153</v>
      </c>
      <c r="CE64">
        <f>403194</f>
        <v>403194</v>
      </c>
      <c r="CF64">
        <f>397921</f>
        <v>397921</v>
      </c>
      <c r="CG64">
        <f>421149</f>
        <v>421149</v>
      </c>
      <c r="CH64">
        <f>417392</f>
        <v>417392</v>
      </c>
      <c r="CI64">
        <f>424415</f>
        <v>424415</v>
      </c>
      <c r="CJ64">
        <f>411859</f>
        <v>411859</v>
      </c>
      <c r="CK64">
        <f>413089</f>
        <v>413089</v>
      </c>
      <c r="CL64">
        <f>414700</f>
        <v>414700</v>
      </c>
      <c r="CM64">
        <f>407095</f>
        <v>407095</v>
      </c>
      <c r="CN64">
        <f>409893</f>
        <v>409893</v>
      </c>
      <c r="CO64">
        <f>413102</f>
        <v>413102</v>
      </c>
      <c r="CP64">
        <f>417421</f>
        <v>417421</v>
      </c>
      <c r="CQ64">
        <f>415146</f>
        <v>415146</v>
      </c>
      <c r="CR64">
        <f>410557</f>
        <v>410557</v>
      </c>
      <c r="CS64">
        <f>408683</f>
        <v>408683</v>
      </c>
      <c r="CT64">
        <f>408737</f>
        <v>408737</v>
      </c>
      <c r="CU64">
        <f>392675</f>
        <v>392675</v>
      </c>
      <c r="CV64">
        <f>359930</f>
        <v>359930</v>
      </c>
      <c r="CW64">
        <f>339887</f>
        <v>339887</v>
      </c>
      <c r="CX64">
        <f>348017</f>
        <v>348017</v>
      </c>
      <c r="CY64">
        <f>345550</f>
        <v>345550</v>
      </c>
      <c r="CZ64">
        <f>340977</f>
        <v>340977</v>
      </c>
      <c r="DA64">
        <f>325028</f>
        <v>325028</v>
      </c>
      <c r="DB64">
        <f>313439</f>
        <v>313439</v>
      </c>
      <c r="DC64">
        <f>290208</f>
        <v>290208</v>
      </c>
      <c r="DD64">
        <f>279864</f>
        <v>279864</v>
      </c>
      <c r="DE64">
        <f>271031</f>
        <v>271031</v>
      </c>
      <c r="DF64">
        <f>265029</f>
        <v>265029</v>
      </c>
      <c r="DG64">
        <f>259874</f>
        <v>259874</v>
      </c>
      <c r="DH64">
        <f>249439</f>
        <v>249439</v>
      </c>
      <c r="DI64">
        <f>248160</f>
        <v>248160</v>
      </c>
      <c r="DJ64">
        <f>235199</f>
        <v>235199</v>
      </c>
      <c r="DK64">
        <f>229350</f>
        <v>229350</v>
      </c>
      <c r="DL64">
        <f>226846</f>
        <v>226846</v>
      </c>
      <c r="DM64">
        <f>230266</f>
        <v>230266</v>
      </c>
      <c r="DN64">
        <f>222613</f>
        <v>222613</v>
      </c>
      <c r="DO64">
        <f>207176</f>
        <v>207176</v>
      </c>
      <c r="DP64">
        <f>186298</f>
        <v>186298</v>
      </c>
      <c r="DQ64">
        <f>167906</f>
        <v>167906</v>
      </c>
      <c r="DR64">
        <f>172654</f>
        <v>172654</v>
      </c>
      <c r="DS64">
        <f>176875</f>
        <v>176875</v>
      </c>
      <c r="DT64">
        <f>157931</f>
        <v>157931</v>
      </c>
      <c r="DU64" t="str">
        <f>""</f>
        <v/>
      </c>
    </row>
    <row r="65" spans="1:125" x14ac:dyDescent="0.25">
      <c r="A65" t="str">
        <f>"                Western Alliance Bancorp"</f>
        <v xml:space="preserve">                Western Alliance Bancorp</v>
      </c>
      <c r="B65" t="str">
        <f>"WAL US Equity"</f>
        <v>WAL US Equity</v>
      </c>
      <c r="C65" t="str">
        <f t="shared" si="6"/>
        <v>FC023</v>
      </c>
      <c r="D65" t="str">
        <f t="shared" si="7"/>
        <v>FDIC_TOTAL_SECURITIES</v>
      </c>
      <c r="E65" t="str">
        <f t="shared" si="8"/>
        <v>Dynamic</v>
      </c>
      <c r="F65">
        <f ca="1">IF(AND(ISNUMBER($F$205),$B$145=1),$F$205,HLOOKUP(INDIRECT(ADDRESS(2,COLUMN())),OFFSET($BN$2,0,0,ROW()-1,60),ROW()-1,FALSE))</f>
        <v>14995.195</v>
      </c>
      <c r="G65">
        <f ca="1">IF(AND(ISNUMBER($G$205),$B$145=1),$G$205,HLOOKUP(INDIRECT(ADDRESS(2,COLUMN())),OFFSET($BN$2,0,0,ROW()-1,60),ROW()-1,FALSE))</f>
        <v>16274.566000000001</v>
      </c>
      <c r="H65">
        <f ca="1">IF(AND(ISNUMBER($H$205),$B$145=1),$H$205,HLOOKUP(INDIRECT(ADDRESS(2,COLUMN())),OFFSET($BN$2,0,0,ROW()-1,60),ROW()-1,FALSE))</f>
        <v>17162.75</v>
      </c>
      <c r="I65">
        <f ca="1">IF(AND(ISNUMBER($I$205),$B$145=1),$I$205,HLOOKUP(INDIRECT(ADDRESS(2,COLUMN())),OFFSET($BN$2,0,0,ROW()-1,60),ROW()-1,FALSE))</f>
        <v>15970.437</v>
      </c>
      <c r="J65">
        <f ca="1">IF(AND(ISNUMBER($J$205),$B$145=1),$J$205,HLOOKUP(INDIRECT(ADDRESS(2,COLUMN())),OFFSET($BN$2,0,0,ROW()-1,60),ROW()-1,FALSE))</f>
        <v>12593.78</v>
      </c>
      <c r="K65">
        <f ca="1">IF(AND(ISNUMBER($K$205),$B$145=1),$K$205,HLOOKUP(INDIRECT(ADDRESS(2,COLUMN())),OFFSET($BN$2,0,0,ROW()-1,60),ROW()-1,FALSE))</f>
        <v>11089.68</v>
      </c>
      <c r="L65">
        <f ca="1">IF(AND(ISNUMBER($L$205),$B$145=1),$L$205,HLOOKUP(INDIRECT(ADDRESS(2,COLUMN())),OFFSET($BN$2,0,0,ROW()-1,60),ROW()-1,FALSE))</f>
        <v>9998.0300000000007</v>
      </c>
      <c r="M65">
        <f ca="1">IF(AND(ISNUMBER($M$205),$B$145=1),$M$205,HLOOKUP(INDIRECT(ADDRESS(2,COLUMN())),OFFSET($BN$2,0,0,ROW()-1,60),ROW()-1,FALSE))</f>
        <v>8970.8240000000005</v>
      </c>
      <c r="N65">
        <f ca="1">IF(AND(ISNUMBER($N$205),$B$145=1),$N$205,HLOOKUP(INDIRECT(ADDRESS(2,COLUMN())),OFFSET($BN$2,0,0,ROW()-1,60),ROW()-1,FALSE))</f>
        <v>8381.2800000000007</v>
      </c>
      <c r="O65">
        <f ca="1">IF(AND(ISNUMBER($O$205),$B$145=1),$O$205,HLOOKUP(INDIRECT(ADDRESS(2,COLUMN())),OFFSET($BN$2,0,0,ROW()-1,60),ROW()-1,FALSE))</f>
        <v>8229.9519999999993</v>
      </c>
      <c r="P65">
        <f ca="1">IF(AND(ISNUMBER($P$205),$B$145=1),$P$205,HLOOKUP(INDIRECT(ADDRESS(2,COLUMN())),OFFSET($BN$2,0,0,ROW()-1,60),ROW()-1,FALSE))</f>
        <v>8485.56</v>
      </c>
      <c r="Q65">
        <f ca="1">IF(AND(ISNUMBER($Q$205),$B$145=1),$Q$205,HLOOKUP(INDIRECT(ADDRESS(2,COLUMN())),OFFSET($BN$2,0,0,ROW()-1,60),ROW()-1,FALSE))</f>
        <v>8013.16</v>
      </c>
      <c r="R65">
        <f ca="1">IF(AND(ISNUMBER($R$205),$B$145=1),$R$205,HLOOKUP(INDIRECT(ADDRESS(2,COLUMN())),OFFSET($BN$2,0,0,ROW()-1,60),ROW()-1,FALSE))</f>
        <v>7295.95</v>
      </c>
      <c r="S65">
        <f ca="1">IF(AND(ISNUMBER($S$205),$B$145=1),$S$205,HLOOKUP(INDIRECT(ADDRESS(2,COLUMN())),OFFSET($BN$2,0,0,ROW()-1,60),ROW()-1,FALSE))</f>
        <v>7430.55</v>
      </c>
      <c r="T65">
        <f ca="1">IF(AND(ISNUMBER($T$205),$B$145=1),$T$205,HLOOKUP(INDIRECT(ADDRESS(2,COLUMN())),OFFSET($BN$2,0,0,ROW()-1,60),ROW()-1,FALSE))</f>
        <v>7583.8710000000001</v>
      </c>
      <c r="U65">
        <f ca="1">IF(AND(ISNUMBER($U$205),$B$145=1),$U$205,HLOOKUP(INDIRECT(ADDRESS(2,COLUMN())),OFFSET($BN$2,0,0,ROW()-1,60),ROW()-1,FALSE))</f>
        <v>7637.9070000000002</v>
      </c>
      <c r="V65">
        <f ca="1">IF(AND(ISNUMBER($V$205),$B$145=1),$V$205,HLOOKUP(INDIRECT(ADDRESS(2,COLUMN())),OFFSET($BN$2,0,0,ROW()-1,60),ROW()-1,FALSE))</f>
        <v>5277.27</v>
      </c>
      <c r="W65">
        <f ca="1">IF(AND(ISNUMBER($W$205),$B$145=1),$W$205,HLOOKUP(INDIRECT(ADDRESS(2,COLUMN())),OFFSET($BN$2,0,0,ROW()-1,60),ROW()-1,FALSE))</f>
        <v>4479.7020000000002</v>
      </c>
      <c r="X65">
        <f ca="1">IF(AND(ISNUMBER($X$205),$B$145=1),$X$205,HLOOKUP(INDIRECT(ADDRESS(2,COLUMN())),OFFSET($BN$2,0,0,ROW()-1,60),ROW()-1,FALSE))</f>
        <v>3996.3020000000001</v>
      </c>
      <c r="Y65">
        <f ca="1">IF(AND(ISNUMBER($Y$205),$B$145=1),$Y$205,HLOOKUP(INDIRECT(ADDRESS(2,COLUMN())),OFFSET($BN$2,0,0,ROW()-1,60),ROW()-1,FALSE))</f>
        <v>4160.4260000000004</v>
      </c>
      <c r="Z65">
        <f ca="1">IF(AND(ISNUMBER($Z$205),$B$145=1),$Z$205,HLOOKUP(INDIRECT(ADDRESS(2,COLUMN())),OFFSET($BN$2,0,0,ROW()-1,60),ROW()-1,FALSE))</f>
        <v>3831.4169999999999</v>
      </c>
      <c r="AA65">
        <f ca="1">IF(AND(ISNUMBER($AA$205),$B$145=1),$AA$205,HLOOKUP(INDIRECT(ADDRESS(2,COLUMN())),OFFSET($BN$2,0,0,ROW()-1,60),ROW()-1,FALSE))</f>
        <v>3955.2240000000002</v>
      </c>
      <c r="AB65">
        <f ca="1">IF(AND(ISNUMBER($AB$205),$B$145=1),$AB$205,HLOOKUP(INDIRECT(ADDRESS(2,COLUMN())),OFFSET($BN$2,0,0,ROW()-1,60),ROW()-1,FALSE))</f>
        <v>3689.0909999999999</v>
      </c>
      <c r="AC65">
        <f ca="1">IF(AND(ISNUMBER($AC$205),$B$145=1),$AC$205,HLOOKUP(INDIRECT(ADDRESS(2,COLUMN())),OFFSET($BN$2,0,0,ROW()-1,60),ROW()-1,FALSE))</f>
        <v>3555.1120000000001</v>
      </c>
      <c r="AD65">
        <f ca="1">IF(AND(ISNUMBER($AD$205),$B$145=1),$AD$205,HLOOKUP(INDIRECT(ADDRESS(2,COLUMN())),OFFSET($BN$2,0,0,ROW()-1,60),ROW()-1,FALSE))</f>
        <v>3579.893</v>
      </c>
      <c r="AE65">
        <f ca="1">IF(AND(ISNUMBER($AE$205),$B$145=1),$AE$205,HLOOKUP(INDIRECT(ADDRESS(2,COLUMN())),OFFSET($BN$2,0,0,ROW()-1,60),ROW()-1,FALSE))</f>
        <v>3395.366</v>
      </c>
      <c r="AF65">
        <f ca="1">IF(AND(ISNUMBER($AF$205),$B$145=1),$AF$205,HLOOKUP(INDIRECT(ADDRESS(2,COLUMN())),OFFSET($BN$2,0,0,ROW()-1,60),ROW()-1,FALSE))</f>
        <v>3479.201</v>
      </c>
      <c r="AG65">
        <f ca="1">IF(AND(ISNUMBER($AG$205),$B$145=1),$AG$205,HLOOKUP(INDIRECT(ADDRESS(2,COLUMN())),OFFSET($BN$2,0,0,ROW()-1,60),ROW()-1,FALSE))</f>
        <v>3523.6019999999999</v>
      </c>
      <c r="AH65">
        <f ca="1">IF(AND(ISNUMBER($AH$205),$B$145=1),$AH$205,HLOOKUP(INDIRECT(ADDRESS(2,COLUMN())),OFFSET($BN$2,0,0,ROW()-1,60),ROW()-1,FALSE))</f>
        <v>3754.569</v>
      </c>
      <c r="AI65">
        <f ca="1">IF(AND(ISNUMBER($AI$205),$B$145=1),$AI$205,HLOOKUP(INDIRECT(ADDRESS(2,COLUMN())),OFFSET($BN$2,0,0,ROW()-1,60),ROW()-1,FALSE))</f>
        <v>3707.7640000000001</v>
      </c>
      <c r="AJ65">
        <f ca="1">IF(AND(ISNUMBER($AJ$205),$B$145=1),$AJ$205,HLOOKUP(INDIRECT(ADDRESS(2,COLUMN())),OFFSET($BN$2,0,0,ROW()-1,60),ROW()-1,FALSE))</f>
        <v>3217.46</v>
      </c>
      <c r="AK65">
        <f ca="1">IF(AND(ISNUMBER($AK$205),$B$145=1),$AK$205,HLOOKUP(INDIRECT(ADDRESS(2,COLUMN())),OFFSET($BN$2,0,0,ROW()-1,60),ROW()-1,FALSE))</f>
        <v>2802.6010000000001</v>
      </c>
      <c r="AL65">
        <f ca="1">IF(AND(ISNUMBER($AL$205),$B$145=1),$AL$205,HLOOKUP(INDIRECT(ADDRESS(2,COLUMN())),OFFSET($BN$2,0,0,ROW()-1,60),ROW()-1,FALSE))</f>
        <v>2701.4589999999998</v>
      </c>
      <c r="AM65">
        <f ca="1">IF(AND(ISNUMBER($AM$205),$B$145=1),$AM$205,HLOOKUP(INDIRECT(ADDRESS(2,COLUMN())),OFFSET($BN$2,0,0,ROW()-1,60),ROW()-1,FALSE))</f>
        <v>2711.6030000000001</v>
      </c>
      <c r="AN65">
        <f ca="1">IF(AND(ISNUMBER($AN$205),$B$145=1),$AN$205,HLOOKUP(INDIRECT(ADDRESS(2,COLUMN())),OFFSET($BN$2,0,0,ROW()-1,60),ROW()-1,FALSE))</f>
        <v>2202.4679999999998</v>
      </c>
      <c r="AO65">
        <f ca="1">IF(AND(ISNUMBER($AO$205),$B$145=1),$AO$205,HLOOKUP(INDIRECT(ADDRESS(2,COLUMN())),OFFSET($BN$2,0,0,ROW()-1,60),ROW()-1,FALSE))</f>
        <v>2034.3340000000001</v>
      </c>
      <c r="AP65">
        <f ca="1">IF(AND(ISNUMBER($AP$205),$B$145=1),$AP$205,HLOOKUP(INDIRECT(ADDRESS(2,COLUMN())),OFFSET($BN$2,0,0,ROW()-1,60),ROW()-1,FALSE))</f>
        <v>1982.5229999999999</v>
      </c>
      <c r="AQ65">
        <f ca="1">IF(AND(ISNUMBER($AQ$205),$B$145=1),$AQ$205,HLOOKUP(INDIRECT(ADDRESS(2,COLUMN())),OFFSET($BN$2,0,0,ROW()-1,60),ROW()-1,FALSE))</f>
        <v>1932.98</v>
      </c>
      <c r="AR65">
        <f ca="1">IF(AND(ISNUMBER($AR$205),$B$145=1),$AR$205,HLOOKUP(INDIRECT(ADDRESS(2,COLUMN())),OFFSET($BN$2,0,0,ROW()-1,60),ROW()-1,FALSE))</f>
        <v>1478.2339999999999</v>
      </c>
      <c r="AS65">
        <f ca="1">IF(AND(ISNUMBER($AS$205),$B$145=1),$AS$205,HLOOKUP(INDIRECT(ADDRESS(2,COLUMN())),OFFSET($BN$2,0,0,ROW()-1,60),ROW()-1,FALSE))</f>
        <v>1399.4280000000001</v>
      </c>
      <c r="AT65">
        <f ca="1">IF(AND(ISNUMBER($AT$205),$B$145=1),$AT$205,HLOOKUP(INDIRECT(ADDRESS(2,COLUMN())),OFFSET($BN$2,0,0,ROW()-1,60),ROW()-1,FALSE))</f>
        <v>1520.2370000000001</v>
      </c>
      <c r="AU65">
        <f ca="1">IF(AND(ISNUMBER($AU$205),$B$145=1),$AU$205,HLOOKUP(INDIRECT(ADDRESS(2,COLUMN())),OFFSET($BN$2,0,0,ROW()-1,60),ROW()-1,FALSE))</f>
        <v>1570.0619999999999</v>
      </c>
      <c r="AV65">
        <f ca="1">IF(AND(ISNUMBER($AV$205),$B$145=1),$AV$205,HLOOKUP(INDIRECT(ADDRESS(2,COLUMN())),OFFSET($BN$2,0,0,ROW()-1,60),ROW()-1,FALSE))</f>
        <v>1578.6790000000001</v>
      </c>
      <c r="AW65">
        <f ca="1">IF(AND(ISNUMBER($AW$205),$B$145=1),$AW$205,HLOOKUP(INDIRECT(ADDRESS(2,COLUMN())),OFFSET($BN$2,0,0,ROW()-1,60),ROW()-1,FALSE))</f>
        <v>1643.0219999999999</v>
      </c>
      <c r="AX65">
        <f ca="1">IF(AND(ISNUMBER($AX$205),$B$145=1),$AX$205,HLOOKUP(INDIRECT(ADDRESS(2,COLUMN())),OFFSET($BN$2,0,0,ROW()-1,60),ROW()-1,FALSE))</f>
        <v>1656.3340000000001</v>
      </c>
      <c r="AY65">
        <f ca="1">IF(AND(ISNUMBER($AY$205),$B$145=1),$AY$205,HLOOKUP(INDIRECT(ADDRESS(2,COLUMN())),OFFSET($BN$2,0,0,ROW()-1,60),ROW()-1,FALSE))</f>
        <v>1367.17</v>
      </c>
      <c r="AZ65">
        <f ca="1">IF(AND(ISNUMBER($AZ$205),$B$145=1),$AZ$205,HLOOKUP(INDIRECT(ADDRESS(2,COLUMN())),OFFSET($BN$2,0,0,ROW()-1,60),ROW()-1,FALSE))</f>
        <v>1277.9880000000001</v>
      </c>
      <c r="BA65">
        <f ca="1">IF(AND(ISNUMBER($BA$205),$B$145=1),$BA$205,HLOOKUP(INDIRECT(ADDRESS(2,COLUMN())),OFFSET($BN$2,0,0,ROW()-1,60),ROW()-1,FALSE))</f>
        <v>1297.5719999999999</v>
      </c>
      <c r="BB65">
        <f ca="1">IF(AND(ISNUMBER($BB$205),$B$145=1),$BB$205,HLOOKUP(INDIRECT(ADDRESS(2,COLUMN())),OFFSET($BN$2,0,0,ROW()-1,60),ROW()-1,FALSE))</f>
        <v>1231.587</v>
      </c>
      <c r="BC65">
        <f ca="1">IF(AND(ISNUMBER($BC$205),$B$145=1),$BC$205,HLOOKUP(INDIRECT(ADDRESS(2,COLUMN())),OFFSET($BN$2,0,0,ROW()-1,60),ROW()-1,FALSE))</f>
        <v>1333.375</v>
      </c>
      <c r="BD65">
        <f ca="1">IF(AND(ISNUMBER($BD$205),$B$145=1),$BD$205,HLOOKUP(INDIRECT(ADDRESS(2,COLUMN())),OFFSET($BN$2,0,0,ROW()-1,60),ROW()-1,FALSE))</f>
        <v>1395.65</v>
      </c>
      <c r="BE65">
        <f ca="1">IF(AND(ISNUMBER($BE$205),$B$145=1),$BE$205,HLOOKUP(INDIRECT(ADDRESS(2,COLUMN())),OFFSET($BN$2,0,0,ROW()-1,60),ROW()-1,FALSE))</f>
        <v>1417.068</v>
      </c>
      <c r="BF65">
        <f ca="1">IF(AND(ISNUMBER($BF$205),$B$145=1),$BF$205,HLOOKUP(INDIRECT(ADDRESS(2,COLUMN())),OFFSET($BN$2,0,0,ROW()-1,60),ROW()-1,FALSE))</f>
        <v>1483.9860000000001</v>
      </c>
      <c r="BG65">
        <f ca="1">IF(AND(ISNUMBER($BG$205),$B$145=1),$BG$205,HLOOKUP(INDIRECT(ADDRESS(2,COLUMN())),OFFSET($BN$2,0,0,ROW()-1,60),ROW()-1,FALSE))</f>
        <v>1297.6569999999999</v>
      </c>
      <c r="BH65">
        <f ca="1">IF(AND(ISNUMBER($BH$205),$B$145=1),$BH$205,HLOOKUP(INDIRECT(ADDRESS(2,COLUMN())),OFFSET($BN$2,0,0,ROW()-1,60),ROW()-1,FALSE))</f>
        <v>1130.991</v>
      </c>
      <c r="BI65">
        <f ca="1">IF(AND(ISNUMBER($BI$205),$B$145=1),$BI$205,HLOOKUP(INDIRECT(ADDRESS(2,COLUMN())),OFFSET($BN$2,0,0,ROW()-1,60),ROW()-1,FALSE))</f>
        <v>1308.991</v>
      </c>
      <c r="BJ65">
        <f ca="1">IF(AND(ISNUMBER($BJ$205),$B$145=1),$BJ$205,HLOOKUP(INDIRECT(ADDRESS(2,COLUMN())),OFFSET($BN$2,0,0,ROW()-1,60),ROW()-1,FALSE))</f>
        <v>1258.797</v>
      </c>
      <c r="BK65">
        <f ca="1">IF(AND(ISNUMBER($BK$205),$B$145=1),$BK$205,HLOOKUP(INDIRECT(ADDRESS(2,COLUMN())),OFFSET($BN$2,0,0,ROW()-1,60),ROW()-1,FALSE))</f>
        <v>897.274</v>
      </c>
      <c r="BL65">
        <f ca="1">IF(AND(ISNUMBER($BL$205),$B$145=1),$BL$205,HLOOKUP(INDIRECT(ADDRESS(2,COLUMN())),OFFSET($BN$2,0,0,ROW()-1,60),ROW()-1,FALSE))</f>
        <v>807.95699999999999</v>
      </c>
      <c r="BM65" t="str">
        <f ca="1">IF(AND(ISNUMBER($BM$205),$B$145=1),$BM$205,HLOOKUP(INDIRECT(ADDRESS(2,COLUMN())),OFFSET($BN$2,0,0,ROW()-1,60),ROW()-1,FALSE))</f>
        <v/>
      </c>
      <c r="BN65">
        <f>14995.195</f>
        <v>14995.195</v>
      </c>
      <c r="BO65">
        <f>16274.566</f>
        <v>16274.566000000001</v>
      </c>
      <c r="BP65">
        <f>17162.75</f>
        <v>17162.75</v>
      </c>
      <c r="BQ65">
        <f>15970.437</f>
        <v>15970.437</v>
      </c>
      <c r="BR65">
        <f>12593.78</f>
        <v>12593.78</v>
      </c>
      <c r="BS65">
        <f>11089.68</f>
        <v>11089.68</v>
      </c>
      <c r="BT65">
        <f>9998.03</f>
        <v>9998.0300000000007</v>
      </c>
      <c r="BU65">
        <f>8970.824</f>
        <v>8970.8240000000005</v>
      </c>
      <c r="BV65">
        <f>8381.28</f>
        <v>8381.2800000000007</v>
      </c>
      <c r="BW65">
        <f>8229.952</f>
        <v>8229.9519999999993</v>
      </c>
      <c r="BX65">
        <f>8485.56</f>
        <v>8485.56</v>
      </c>
      <c r="BY65">
        <f>8013.16</f>
        <v>8013.16</v>
      </c>
      <c r="BZ65">
        <f>7295.95</f>
        <v>7295.95</v>
      </c>
      <c r="CA65">
        <f>7430.55</f>
        <v>7430.55</v>
      </c>
      <c r="CB65">
        <f>7583.871</f>
        <v>7583.8710000000001</v>
      </c>
      <c r="CC65">
        <f>7637.907</f>
        <v>7637.9070000000002</v>
      </c>
      <c r="CD65">
        <f>5277.27</f>
        <v>5277.27</v>
      </c>
      <c r="CE65">
        <f>4479.702</f>
        <v>4479.7020000000002</v>
      </c>
      <c r="CF65">
        <f>3996.302</f>
        <v>3996.3020000000001</v>
      </c>
      <c r="CG65">
        <f>4160.426</f>
        <v>4160.4260000000004</v>
      </c>
      <c r="CH65">
        <f>3831.417</f>
        <v>3831.4169999999999</v>
      </c>
      <c r="CI65">
        <f>3955.224</f>
        <v>3955.2240000000002</v>
      </c>
      <c r="CJ65">
        <f>3689.091</f>
        <v>3689.0909999999999</v>
      </c>
      <c r="CK65">
        <f>3555.112</f>
        <v>3555.1120000000001</v>
      </c>
      <c r="CL65">
        <f>3579.893</f>
        <v>3579.893</v>
      </c>
      <c r="CM65">
        <f>3395.366</f>
        <v>3395.366</v>
      </c>
      <c r="CN65">
        <f>3479.201</f>
        <v>3479.201</v>
      </c>
      <c r="CO65">
        <f>3523.602</f>
        <v>3523.6019999999999</v>
      </c>
      <c r="CP65">
        <f>3754.569</f>
        <v>3754.569</v>
      </c>
      <c r="CQ65">
        <f>3707.764</f>
        <v>3707.7640000000001</v>
      </c>
      <c r="CR65">
        <f>3217.46</f>
        <v>3217.46</v>
      </c>
      <c r="CS65">
        <f>2802.601</f>
        <v>2802.6010000000001</v>
      </c>
      <c r="CT65">
        <f>2701.459</f>
        <v>2701.4589999999998</v>
      </c>
      <c r="CU65">
        <f>2711.603</f>
        <v>2711.6030000000001</v>
      </c>
      <c r="CV65">
        <f>2202.468</f>
        <v>2202.4679999999998</v>
      </c>
      <c r="CW65">
        <f>2034.334</f>
        <v>2034.3340000000001</v>
      </c>
      <c r="CX65">
        <f>1982.523</f>
        <v>1982.5229999999999</v>
      </c>
      <c r="CY65">
        <f>1932.98</f>
        <v>1932.98</v>
      </c>
      <c r="CZ65">
        <f>1478.234</f>
        <v>1478.2339999999999</v>
      </c>
      <c r="DA65">
        <f>1399.428</f>
        <v>1399.4280000000001</v>
      </c>
      <c r="DB65">
        <f>1520.237</f>
        <v>1520.2370000000001</v>
      </c>
      <c r="DC65">
        <f>1570.062</f>
        <v>1570.0619999999999</v>
      </c>
      <c r="DD65">
        <f>1578.679</f>
        <v>1578.6790000000001</v>
      </c>
      <c r="DE65">
        <f>1643.022</f>
        <v>1643.0219999999999</v>
      </c>
      <c r="DF65">
        <f>1656.334</f>
        <v>1656.3340000000001</v>
      </c>
      <c r="DG65">
        <f>1367.17</f>
        <v>1367.17</v>
      </c>
      <c r="DH65">
        <f>1277.988</f>
        <v>1277.9880000000001</v>
      </c>
      <c r="DI65">
        <f>1297.572</f>
        <v>1297.5719999999999</v>
      </c>
      <c r="DJ65">
        <f>1231.587</f>
        <v>1231.587</v>
      </c>
      <c r="DK65">
        <f>1333.375</f>
        <v>1333.375</v>
      </c>
      <c r="DL65">
        <f>1395.65</f>
        <v>1395.65</v>
      </c>
      <c r="DM65">
        <f>1417.068</f>
        <v>1417.068</v>
      </c>
      <c r="DN65">
        <f>1483.986</f>
        <v>1483.9860000000001</v>
      </c>
      <c r="DO65">
        <f>1297.657</f>
        <v>1297.6569999999999</v>
      </c>
      <c r="DP65">
        <f>1130.991</f>
        <v>1130.991</v>
      </c>
      <c r="DQ65">
        <f>1308.991</f>
        <v>1308.991</v>
      </c>
      <c r="DR65">
        <f>1258.797</f>
        <v>1258.797</v>
      </c>
      <c r="DS65">
        <f>897.274</f>
        <v>897.274</v>
      </c>
      <c r="DT65">
        <f>807.957</f>
        <v>807.95699999999999</v>
      </c>
      <c r="DU65" t="str">
        <f>""</f>
        <v/>
      </c>
    </row>
    <row r="66" spans="1:125" x14ac:dyDescent="0.25">
      <c r="A66" t="str">
        <f>"                Zions Bancorp NA"</f>
        <v xml:space="preserve">                Zions Bancorp NA</v>
      </c>
      <c r="B66" t="str">
        <f>"ZION US Equity"</f>
        <v>ZION US Equity</v>
      </c>
      <c r="C66" t="str">
        <f t="shared" si="6"/>
        <v>FC023</v>
      </c>
      <c r="D66" t="str">
        <f t="shared" si="7"/>
        <v>FDIC_TOTAL_SECURITIES</v>
      </c>
      <c r="E66" t="str">
        <f t="shared" si="8"/>
        <v>Dynamic</v>
      </c>
      <c r="F66" t="str">
        <f ca="1">IF(AND(ISNUMBER($F$206),$B$145=1),$F$206,HLOOKUP(INDIRECT(ADDRESS(2,COLUMN())),OFFSET($BN$2,0,0,ROW()-1,60),ROW()-1,FALSE))</f>
        <v/>
      </c>
      <c r="G66" t="str">
        <f ca="1">IF(AND(ISNUMBER($G$206),$B$145=1),$G$206,HLOOKUP(INDIRECT(ADDRESS(2,COLUMN())),OFFSET($BN$2,0,0,ROW()-1,60),ROW()-1,FALSE))</f>
        <v/>
      </c>
      <c r="H66">
        <f ca="1">IF(AND(ISNUMBER($H$206),$B$145=1),$H$206,HLOOKUP(INDIRECT(ADDRESS(2,COLUMN())),OFFSET($BN$2,0,0,ROW()-1,60),ROW()-1,FALSE))</f>
        <v>19755.275000000001</v>
      </c>
      <c r="I66">
        <f ca="1">IF(AND(ISNUMBER($I$206),$B$145=1),$I$206,HLOOKUP(INDIRECT(ADDRESS(2,COLUMN())),OFFSET($BN$2,0,0,ROW()-1,60),ROW()-1,FALSE))</f>
        <v>20312.064999999999</v>
      </c>
      <c r="J66">
        <f ca="1">IF(AND(ISNUMBER($J$206),$B$145=1),$J$206,HLOOKUP(INDIRECT(ADDRESS(2,COLUMN())),OFFSET($BN$2,0,0,ROW()-1,60),ROW()-1,FALSE))</f>
        <v>21160.696</v>
      </c>
      <c r="K66">
        <f ca="1">IF(AND(ISNUMBER($K$206),$B$145=1),$K$206,HLOOKUP(INDIRECT(ADDRESS(2,COLUMN())),OFFSET($BN$2,0,0,ROW()-1,60),ROW()-1,FALSE))</f>
        <v>20936.105</v>
      </c>
      <c r="L66">
        <f ca="1">IF(AND(ISNUMBER($L$206),$B$145=1),$L$206,HLOOKUP(INDIRECT(ADDRESS(2,COLUMN())),OFFSET($BN$2,0,0,ROW()-1,60),ROW()-1,FALSE))</f>
        <v>21687.883000000002</v>
      </c>
      <c r="M66">
        <f ca="1">IF(AND(ISNUMBER($M$206),$B$145=1),$M$206,HLOOKUP(INDIRECT(ADDRESS(2,COLUMN())),OFFSET($BN$2,0,0,ROW()-1,60),ROW()-1,FALSE))</f>
        <v>22930.731</v>
      </c>
      <c r="N66">
        <f ca="1">IF(AND(ISNUMBER($N$206),$B$145=1),$N$206,HLOOKUP(INDIRECT(ADDRESS(2,COLUMN())),OFFSET($BN$2,0,0,ROW()-1,60),ROW()-1,FALSE))</f>
        <v>23434.858</v>
      </c>
      <c r="O66">
        <f ca="1">IF(AND(ISNUMBER($O$206),$B$145=1),$O$206,HLOOKUP(INDIRECT(ADDRESS(2,COLUMN())),OFFSET($BN$2,0,0,ROW()-1,60),ROW()-1,FALSE))</f>
        <v>23656.143</v>
      </c>
      <c r="P66">
        <f ca="1">IF(AND(ISNUMBER($P$206),$B$145=1),$P$206,HLOOKUP(INDIRECT(ADDRESS(2,COLUMN())),OFFSET($BN$2,0,0,ROW()-1,60),ROW()-1,FALSE))</f>
        <v>25910.753000000001</v>
      </c>
      <c r="Q66">
        <f ca="1">IF(AND(ISNUMBER($Q$206),$B$145=1),$Q$206,HLOOKUP(INDIRECT(ADDRESS(2,COLUMN())),OFFSET($BN$2,0,0,ROW()-1,60),ROW()-1,FALSE))</f>
        <v>26583.671999999999</v>
      </c>
      <c r="R66">
        <f ca="1">IF(AND(ISNUMBER($R$206),$B$145=1),$R$206,HLOOKUP(INDIRECT(ADDRESS(2,COLUMN())),OFFSET($BN$2,0,0,ROW()-1,60),ROW()-1,FALSE))</f>
        <v>24489.09</v>
      </c>
      <c r="S66">
        <f ca="1">IF(AND(ISNUMBER($S$206),$B$145=1),$S$206,HLOOKUP(INDIRECT(ADDRESS(2,COLUMN())),OFFSET($BN$2,0,0,ROW()-1,60),ROW()-1,FALSE))</f>
        <v>20919.72</v>
      </c>
      <c r="T66">
        <f ca="1">IF(AND(ISNUMBER($T$206),$B$145=1),$T$206,HLOOKUP(INDIRECT(ADDRESS(2,COLUMN())),OFFSET($BN$2,0,0,ROW()-1,60),ROW()-1,FALSE))</f>
        <v>18790.311000000002</v>
      </c>
      <c r="U66">
        <f ca="1">IF(AND(ISNUMBER($U$206),$B$145=1),$U$206,HLOOKUP(INDIRECT(ADDRESS(2,COLUMN())),OFFSET($BN$2,0,0,ROW()-1,60),ROW()-1,FALSE))</f>
        <v>17226.535</v>
      </c>
      <c r="V66" t="str">
        <f ca="1">IF(AND(ISNUMBER($V$206),$B$145=1),$V$206,HLOOKUP(INDIRECT(ADDRESS(2,COLUMN())),OFFSET($BN$2,0,0,ROW()-1,60),ROW()-1,FALSE))</f>
        <v/>
      </c>
      <c r="W66" t="str">
        <f ca="1">IF(AND(ISNUMBER($W$206),$B$145=1),$W$206,HLOOKUP(INDIRECT(ADDRESS(2,COLUMN())),OFFSET($BN$2,0,0,ROW()-1,60),ROW()-1,FALSE))</f>
        <v/>
      </c>
      <c r="X66" t="str">
        <f ca="1">IF(AND(ISNUMBER($X$206),$B$145=1),$X$206,HLOOKUP(INDIRECT(ADDRESS(2,COLUMN())),OFFSET($BN$2,0,0,ROW()-1,60),ROW()-1,FALSE))</f>
        <v/>
      </c>
      <c r="Y66" t="str">
        <f ca="1">IF(AND(ISNUMBER($Y$206),$B$145=1),$Y$206,HLOOKUP(INDIRECT(ADDRESS(2,COLUMN())),OFFSET($BN$2,0,0,ROW()-1,60),ROW()-1,FALSE))</f>
        <v/>
      </c>
      <c r="Z66" t="str">
        <f ca="1">IF(AND(ISNUMBER($Z$206),$B$145=1),$Z$206,HLOOKUP(INDIRECT(ADDRESS(2,COLUMN())),OFFSET($BN$2,0,0,ROW()-1,60),ROW()-1,FALSE))</f>
        <v/>
      </c>
      <c r="AA66" t="str">
        <f ca="1">IF(AND(ISNUMBER($AA$206),$B$145=1),$AA$206,HLOOKUP(INDIRECT(ADDRESS(2,COLUMN())),OFFSET($BN$2,0,0,ROW()-1,60),ROW()-1,FALSE))</f>
        <v/>
      </c>
      <c r="AB66" t="str">
        <f ca="1">IF(AND(ISNUMBER($AB$206),$B$145=1),$AB$206,HLOOKUP(INDIRECT(ADDRESS(2,COLUMN())),OFFSET($BN$2,0,0,ROW()-1,60),ROW()-1,FALSE))</f>
        <v/>
      </c>
      <c r="AC66" t="str">
        <f ca="1">IF(AND(ISNUMBER($AC$206),$B$145=1),$AC$206,HLOOKUP(INDIRECT(ADDRESS(2,COLUMN())),OFFSET($BN$2,0,0,ROW()-1,60),ROW()-1,FALSE))</f>
        <v/>
      </c>
      <c r="AD66" t="str">
        <f ca="1">IF(AND(ISNUMBER($AD$206),$B$145=1),$AD$206,HLOOKUP(INDIRECT(ADDRESS(2,COLUMN())),OFFSET($BN$2,0,0,ROW()-1,60),ROW()-1,FALSE))</f>
        <v/>
      </c>
      <c r="AE66" t="str">
        <f ca="1">IF(AND(ISNUMBER($AE$206),$B$145=1),$AE$206,HLOOKUP(INDIRECT(ADDRESS(2,COLUMN())),OFFSET($BN$2,0,0,ROW()-1,60),ROW()-1,FALSE))</f>
        <v/>
      </c>
      <c r="AF66" t="str">
        <f ca="1">IF(AND(ISNUMBER($AF$206),$B$145=1),$AF$206,HLOOKUP(INDIRECT(ADDRESS(2,COLUMN())),OFFSET($BN$2,0,0,ROW()-1,60),ROW()-1,FALSE))</f>
        <v/>
      </c>
      <c r="AG66" t="str">
        <f ca="1">IF(AND(ISNUMBER($AG$206),$B$145=1),$AG$206,HLOOKUP(INDIRECT(ADDRESS(2,COLUMN())),OFFSET($BN$2,0,0,ROW()-1,60),ROW()-1,FALSE))</f>
        <v/>
      </c>
      <c r="AH66" t="str">
        <f ca="1">IF(AND(ISNUMBER($AH$206),$B$145=1),$AH$206,HLOOKUP(INDIRECT(ADDRESS(2,COLUMN())),OFFSET($BN$2,0,0,ROW()-1,60),ROW()-1,FALSE))</f>
        <v/>
      </c>
      <c r="AI66" t="str">
        <f ca="1">IF(AND(ISNUMBER($AI$206),$B$145=1),$AI$206,HLOOKUP(INDIRECT(ADDRESS(2,COLUMN())),OFFSET($BN$2,0,0,ROW()-1,60),ROW()-1,FALSE))</f>
        <v/>
      </c>
      <c r="AJ66" t="str">
        <f ca="1">IF(AND(ISNUMBER($AJ$206),$B$145=1),$AJ$206,HLOOKUP(INDIRECT(ADDRESS(2,COLUMN())),OFFSET($BN$2,0,0,ROW()-1,60),ROW()-1,FALSE))</f>
        <v/>
      </c>
      <c r="AK66" t="str">
        <f ca="1">IF(AND(ISNUMBER($AK$206),$B$145=1),$AK$206,HLOOKUP(INDIRECT(ADDRESS(2,COLUMN())),OFFSET($BN$2,0,0,ROW()-1,60),ROW()-1,FALSE))</f>
        <v/>
      </c>
      <c r="AL66" t="str">
        <f ca="1">IF(AND(ISNUMBER($AL$206),$B$145=1),$AL$206,HLOOKUP(INDIRECT(ADDRESS(2,COLUMN())),OFFSET($BN$2,0,0,ROW()-1,60),ROW()-1,FALSE))</f>
        <v/>
      </c>
      <c r="AM66" t="str">
        <f ca="1">IF(AND(ISNUMBER($AM$206),$B$145=1),$AM$206,HLOOKUP(INDIRECT(ADDRESS(2,COLUMN())),OFFSET($BN$2,0,0,ROW()-1,60),ROW()-1,FALSE))</f>
        <v/>
      </c>
      <c r="AN66" t="str">
        <f ca="1">IF(AND(ISNUMBER($AN$206),$B$145=1),$AN$206,HLOOKUP(INDIRECT(ADDRESS(2,COLUMN())),OFFSET($BN$2,0,0,ROW()-1,60),ROW()-1,FALSE))</f>
        <v/>
      </c>
      <c r="AO66" t="str">
        <f ca="1">IF(AND(ISNUMBER($AO$206),$B$145=1),$AO$206,HLOOKUP(INDIRECT(ADDRESS(2,COLUMN())),OFFSET($BN$2,0,0,ROW()-1,60),ROW()-1,FALSE))</f>
        <v/>
      </c>
      <c r="AP66" t="str">
        <f ca="1">IF(AND(ISNUMBER($AP$206),$B$145=1),$AP$206,HLOOKUP(INDIRECT(ADDRESS(2,COLUMN())),OFFSET($BN$2,0,0,ROW()-1,60),ROW()-1,FALSE))</f>
        <v/>
      </c>
      <c r="AQ66" t="str">
        <f ca="1">IF(AND(ISNUMBER($AQ$206),$B$145=1),$AQ$206,HLOOKUP(INDIRECT(ADDRESS(2,COLUMN())),OFFSET($BN$2,0,0,ROW()-1,60),ROW()-1,FALSE))</f>
        <v/>
      </c>
      <c r="AR66" t="str">
        <f ca="1">IF(AND(ISNUMBER($AR$206),$B$145=1),$AR$206,HLOOKUP(INDIRECT(ADDRESS(2,COLUMN())),OFFSET($BN$2,0,0,ROW()-1,60),ROW()-1,FALSE))</f>
        <v/>
      </c>
      <c r="AS66" t="str">
        <f ca="1">IF(AND(ISNUMBER($AS$206),$B$145=1),$AS$206,HLOOKUP(INDIRECT(ADDRESS(2,COLUMN())),OFFSET($BN$2,0,0,ROW()-1,60),ROW()-1,FALSE))</f>
        <v/>
      </c>
      <c r="AT66" t="str">
        <f ca="1">IF(AND(ISNUMBER($AT$206),$B$145=1),$AT$206,HLOOKUP(INDIRECT(ADDRESS(2,COLUMN())),OFFSET($BN$2,0,0,ROW()-1,60),ROW()-1,FALSE))</f>
        <v/>
      </c>
      <c r="AU66" t="str">
        <f ca="1">IF(AND(ISNUMBER($AU$206),$B$145=1),$AU$206,HLOOKUP(INDIRECT(ADDRESS(2,COLUMN())),OFFSET($BN$2,0,0,ROW()-1,60),ROW()-1,FALSE))</f>
        <v/>
      </c>
      <c r="AV66" t="str">
        <f ca="1">IF(AND(ISNUMBER($AV$206),$B$145=1),$AV$206,HLOOKUP(INDIRECT(ADDRESS(2,COLUMN())),OFFSET($BN$2,0,0,ROW()-1,60),ROW()-1,FALSE))</f>
        <v/>
      </c>
      <c r="AW66" t="str">
        <f ca="1">IF(AND(ISNUMBER($AW$206),$B$145=1),$AW$206,HLOOKUP(INDIRECT(ADDRESS(2,COLUMN())),OFFSET($BN$2,0,0,ROW()-1,60),ROW()-1,FALSE))</f>
        <v/>
      </c>
      <c r="AX66" t="str">
        <f ca="1">IF(AND(ISNUMBER($AX$206),$B$145=1),$AX$206,HLOOKUP(INDIRECT(ADDRESS(2,COLUMN())),OFFSET($BN$2,0,0,ROW()-1,60),ROW()-1,FALSE))</f>
        <v/>
      </c>
      <c r="AY66" t="str">
        <f ca="1">IF(AND(ISNUMBER($AY$206),$B$145=1),$AY$206,HLOOKUP(INDIRECT(ADDRESS(2,COLUMN())),OFFSET($BN$2,0,0,ROW()-1,60),ROW()-1,FALSE))</f>
        <v/>
      </c>
      <c r="AZ66" t="str">
        <f ca="1">IF(AND(ISNUMBER($AZ$206),$B$145=1),$AZ$206,HLOOKUP(INDIRECT(ADDRESS(2,COLUMN())),OFFSET($BN$2,0,0,ROW()-1,60),ROW()-1,FALSE))</f>
        <v/>
      </c>
      <c r="BA66" t="str">
        <f ca="1">IF(AND(ISNUMBER($BA$206),$B$145=1),$BA$206,HLOOKUP(INDIRECT(ADDRESS(2,COLUMN())),OFFSET($BN$2,0,0,ROW()-1,60),ROW()-1,FALSE))</f>
        <v/>
      </c>
      <c r="BB66" t="str">
        <f ca="1">IF(AND(ISNUMBER($BB$206),$B$145=1),$BB$206,HLOOKUP(INDIRECT(ADDRESS(2,COLUMN())),OFFSET($BN$2,0,0,ROW()-1,60),ROW()-1,FALSE))</f>
        <v/>
      </c>
      <c r="BC66" t="str">
        <f ca="1">IF(AND(ISNUMBER($BC$206),$B$145=1),$BC$206,HLOOKUP(INDIRECT(ADDRESS(2,COLUMN())),OFFSET($BN$2,0,0,ROW()-1,60),ROW()-1,FALSE))</f>
        <v/>
      </c>
      <c r="BD66" t="str">
        <f ca="1">IF(AND(ISNUMBER($BD$206),$B$145=1),$BD$206,HLOOKUP(INDIRECT(ADDRESS(2,COLUMN())),OFFSET($BN$2,0,0,ROW()-1,60),ROW()-1,FALSE))</f>
        <v/>
      </c>
      <c r="BE66" t="str">
        <f ca="1">IF(AND(ISNUMBER($BE$206),$B$145=1),$BE$206,HLOOKUP(INDIRECT(ADDRESS(2,COLUMN())),OFFSET($BN$2,0,0,ROW()-1,60),ROW()-1,FALSE))</f>
        <v/>
      </c>
      <c r="BF66" t="str">
        <f ca="1">IF(AND(ISNUMBER($BF$206),$B$145=1),$BF$206,HLOOKUP(INDIRECT(ADDRESS(2,COLUMN())),OFFSET($BN$2,0,0,ROW()-1,60),ROW()-1,FALSE))</f>
        <v/>
      </c>
      <c r="BG66" t="str">
        <f ca="1">IF(AND(ISNUMBER($BG$206),$B$145=1),$BG$206,HLOOKUP(INDIRECT(ADDRESS(2,COLUMN())),OFFSET($BN$2,0,0,ROW()-1,60),ROW()-1,FALSE))</f>
        <v/>
      </c>
      <c r="BH66" t="str">
        <f ca="1">IF(AND(ISNUMBER($BH$206),$B$145=1),$BH$206,HLOOKUP(INDIRECT(ADDRESS(2,COLUMN())),OFFSET($BN$2,0,0,ROW()-1,60),ROW()-1,FALSE))</f>
        <v/>
      </c>
      <c r="BI66" t="str">
        <f ca="1">IF(AND(ISNUMBER($BI$206),$B$145=1),$BI$206,HLOOKUP(INDIRECT(ADDRESS(2,COLUMN())),OFFSET($BN$2,0,0,ROW()-1,60),ROW()-1,FALSE))</f>
        <v/>
      </c>
      <c r="BJ66" t="str">
        <f ca="1">IF(AND(ISNUMBER($BJ$206),$B$145=1),$BJ$206,HLOOKUP(INDIRECT(ADDRESS(2,COLUMN())),OFFSET($BN$2,0,0,ROW()-1,60),ROW()-1,FALSE))</f>
        <v/>
      </c>
      <c r="BK66" t="str">
        <f ca="1">IF(AND(ISNUMBER($BK$206),$B$145=1),$BK$206,HLOOKUP(INDIRECT(ADDRESS(2,COLUMN())),OFFSET($BN$2,0,0,ROW()-1,60),ROW()-1,FALSE))</f>
        <v/>
      </c>
      <c r="BL66" t="str">
        <f ca="1">IF(AND(ISNUMBER($BL$206),$B$145=1),$BL$206,HLOOKUP(INDIRECT(ADDRESS(2,COLUMN())),OFFSET($BN$2,0,0,ROW()-1,60),ROW()-1,FALSE))</f>
        <v/>
      </c>
      <c r="BM66" t="str">
        <f ca="1">IF(AND(ISNUMBER($BM$206),$B$145=1),$BM$206,HLOOKUP(INDIRECT(ADDRESS(2,COLUMN())),OFFSET($BN$2,0,0,ROW()-1,60),ROW()-1,FALSE))</f>
        <v/>
      </c>
      <c r="BN66" t="str">
        <f>""</f>
        <v/>
      </c>
      <c r="BO66" t="str">
        <f>""</f>
        <v/>
      </c>
      <c r="BP66">
        <f>19755.275</f>
        <v>19755.275000000001</v>
      </c>
      <c r="BQ66">
        <f>20312.065</f>
        <v>20312.064999999999</v>
      </c>
      <c r="BR66">
        <f>21160.696</f>
        <v>21160.696</v>
      </c>
      <c r="BS66">
        <f>20936.105</f>
        <v>20936.105</v>
      </c>
      <c r="BT66">
        <f>21687.883</f>
        <v>21687.883000000002</v>
      </c>
      <c r="BU66">
        <f>22930.731</f>
        <v>22930.731</v>
      </c>
      <c r="BV66">
        <f>23434.858</f>
        <v>23434.858</v>
      </c>
      <c r="BW66">
        <f>23656.143</f>
        <v>23656.143</v>
      </c>
      <c r="BX66">
        <f>25910.753</f>
        <v>25910.753000000001</v>
      </c>
      <c r="BY66">
        <f>26583.672</f>
        <v>26583.671999999999</v>
      </c>
      <c r="BZ66">
        <f>24489.09</f>
        <v>24489.09</v>
      </c>
      <c r="CA66">
        <f>20919.72</f>
        <v>20919.72</v>
      </c>
      <c r="CB66">
        <f>18790.311</f>
        <v>18790.311000000002</v>
      </c>
      <c r="CC66">
        <f>17226.535</f>
        <v>17226.535</v>
      </c>
      <c r="CD66" t="str">
        <f>""</f>
        <v/>
      </c>
      <c r="CE66" t="str">
        <f>""</f>
        <v/>
      </c>
      <c r="CF66" t="str">
        <f>""</f>
        <v/>
      </c>
      <c r="CG66" t="str">
        <f>""</f>
        <v/>
      </c>
      <c r="CH66" t="str">
        <f>""</f>
        <v/>
      </c>
      <c r="CI66" t="str">
        <f>""</f>
        <v/>
      </c>
      <c r="CJ66" t="str">
        <f>""</f>
        <v/>
      </c>
      <c r="CK66" t="str">
        <f>""</f>
        <v/>
      </c>
      <c r="CL66" t="str">
        <f>""</f>
        <v/>
      </c>
      <c r="CM66" t="str">
        <f>""</f>
        <v/>
      </c>
      <c r="CN66" t="str">
        <f>""</f>
        <v/>
      </c>
      <c r="CO66" t="str">
        <f>""</f>
        <v/>
      </c>
      <c r="CP66" t="str">
        <f>""</f>
        <v/>
      </c>
      <c r="CQ66" t="str">
        <f>""</f>
        <v/>
      </c>
      <c r="CR66" t="str">
        <f>""</f>
        <v/>
      </c>
      <c r="CS66" t="str">
        <f>""</f>
        <v/>
      </c>
      <c r="CT66" t="str">
        <f>""</f>
        <v/>
      </c>
      <c r="CU66" t="str">
        <f>""</f>
        <v/>
      </c>
      <c r="CV66" t="str">
        <f>""</f>
        <v/>
      </c>
      <c r="CW66" t="str">
        <f>""</f>
        <v/>
      </c>
      <c r="CX66" t="str">
        <f>""</f>
        <v/>
      </c>
      <c r="CY66" t="str">
        <f>""</f>
        <v/>
      </c>
      <c r="CZ66" t="str">
        <f>""</f>
        <v/>
      </c>
      <c r="DA66" t="str">
        <f>""</f>
        <v/>
      </c>
      <c r="DB66" t="str">
        <f>""</f>
        <v/>
      </c>
      <c r="DC66" t="str">
        <f>""</f>
        <v/>
      </c>
      <c r="DD66" t="str">
        <f>""</f>
        <v/>
      </c>
      <c r="DE66" t="str">
        <f>""</f>
        <v/>
      </c>
      <c r="DF66" t="str">
        <f>""</f>
        <v/>
      </c>
      <c r="DG66" t="str">
        <f>""</f>
        <v/>
      </c>
      <c r="DH66" t="str">
        <f>""</f>
        <v/>
      </c>
      <c r="DI66" t="str">
        <f>""</f>
        <v/>
      </c>
      <c r="DJ66" t="str">
        <f>""</f>
        <v/>
      </c>
      <c r="DK66" t="str">
        <f>""</f>
        <v/>
      </c>
      <c r="DL66" t="str">
        <f>""</f>
        <v/>
      </c>
      <c r="DM66" t="str">
        <f>""</f>
        <v/>
      </c>
      <c r="DN66" t="str">
        <f>""</f>
        <v/>
      </c>
      <c r="DO66" t="str">
        <f>""</f>
        <v/>
      </c>
      <c r="DP66" t="str">
        <f>""</f>
        <v/>
      </c>
      <c r="DQ66" t="str">
        <f>""</f>
        <v/>
      </c>
      <c r="DR66" t="str">
        <f>""</f>
        <v/>
      </c>
      <c r="DS66" t="str">
        <f>""</f>
        <v/>
      </c>
      <c r="DT66" t="str">
        <f>""</f>
        <v/>
      </c>
      <c r="DU66" t="str">
        <f>""</f>
        <v/>
      </c>
    </row>
    <row r="67" spans="1:125" x14ac:dyDescent="0.25">
      <c r="A67" t="str">
        <f>"Balance Sheet - Assets - Trading Assets"</f>
        <v>Balance Sheet - Assets - Trading Assets</v>
      </c>
      <c r="B67" t="str">
        <f>""</f>
        <v/>
      </c>
      <c r="E67" t="str">
        <f>"Sum"</f>
        <v>Sum</v>
      </c>
      <c r="F67">
        <f ca="1">IF(ISERROR(IF(SUM($F$68:$F$87) = 0, "", SUM($F$68:$F$87))), "", (IF(SUM($F$68:$F$87) = 0, "", SUM($F$68:$F$87))))</f>
        <v>1627213.5310000002</v>
      </c>
      <c r="G67">
        <f ca="1">IF(ISERROR(IF(SUM($G$68:$G$87) = 0, "", SUM($G$68:$G$87))), "", (IF(SUM($G$68:$G$87) = 0, "", SUM($G$68:$G$87))))</f>
        <v>1813950.2049999998</v>
      </c>
      <c r="H67">
        <f ca="1">IF(ISERROR(IF(SUM($H$68:$H$87) = 0, "", SUM($H$68:$H$87))), "", (IF(SUM($H$68:$H$87) = 0, "", SUM($H$68:$H$87))))</f>
        <v>1717367.7949999997</v>
      </c>
      <c r="I67">
        <f ca="1">IF(ISERROR(IF(SUM($I$68:$I$87) = 0, "", SUM($I$68:$I$87))), "", (IF(SUM($I$68:$I$87) = 0, "", SUM($I$68:$I$87))))</f>
        <v>1720309.949</v>
      </c>
      <c r="J67">
        <f ca="1">IF(ISERROR(IF(SUM($J$68:$J$87) = 0, "", SUM($J$68:$J$87))), "", (IF(SUM($J$68:$J$87) = 0, "", SUM($J$68:$J$87))))</f>
        <v>1435668.5689999999</v>
      </c>
      <c r="K67">
        <f ca="1">IF(ISERROR(IF(SUM($K$68:$K$87) = 0, "", SUM($K$68:$K$87))), "", (IF(SUM($K$68:$K$87) = 0, "", SUM($K$68:$K$87))))</f>
        <v>1531241.656</v>
      </c>
      <c r="L67">
        <f ca="1">IF(ISERROR(IF(SUM($L$68:$L$87) = 0, "", SUM($L$68:$L$87))), "", (IF(SUM($L$68:$L$87) = 0, "", SUM($L$68:$L$87))))</f>
        <v>1596169.5389999999</v>
      </c>
      <c r="M67">
        <f ca="1">IF(ISERROR(IF(SUM($M$68:$M$87) = 0, "", SUM($M$68:$M$87))), "", (IF(SUM($M$68:$M$87) = 0, "", SUM($M$68:$M$87))))</f>
        <v>1480738.4649999999</v>
      </c>
      <c r="N67">
        <f ca="1">IF(ISERROR(IF(SUM($N$68:$N$87) = 0, "", SUM($N$68:$N$87))), "", (IF(SUM($N$68:$N$87) = 0, "", SUM($N$68:$N$87))))</f>
        <v>1297601.7460000003</v>
      </c>
      <c r="O67">
        <f ca="1">IF(ISERROR(IF(SUM($O$68:$O$87) = 0, "", SUM($O$68:$O$87))), "", (IF(SUM($O$68:$O$87) = 0, "", SUM($O$68:$O$87))))</f>
        <v>1401247.682</v>
      </c>
      <c r="P67">
        <f ca="1">IF(ISERROR(IF(SUM($P$68:$P$87) = 0, "", SUM($P$68:$P$87))), "", (IF(SUM($P$68:$P$87) = 0, "", SUM($P$68:$P$87))))</f>
        <v>1335899.8359999999</v>
      </c>
      <c r="Q67">
        <f ca="1">IF(ISERROR(IF(SUM($Q$68:$Q$87) = 0, "", SUM($Q$68:$Q$87))), "", (IF(SUM($Q$68:$Q$87) = 0, "", SUM($Q$68:$Q$87))))</f>
        <v>1420137.4790000001</v>
      </c>
      <c r="R67">
        <f ca="1">IF(ISERROR(IF(SUM($R$68:$R$87) = 0, "", SUM($R$68:$R$87))), "", (IF(SUM($R$68:$R$87) = 0, "", SUM($R$68:$R$87))))</f>
        <v>1219574.0430000001</v>
      </c>
      <c r="S67">
        <f ca="1">IF(ISERROR(IF(SUM($S$68:$S$87) = 0, "", SUM($S$68:$S$87))), "", (IF(SUM($S$68:$S$87) = 0, "", SUM($S$68:$S$87))))</f>
        <v>1378307.9430000002</v>
      </c>
      <c r="T67">
        <f ca="1">IF(ISERROR(IF(SUM($T$68:$T$87) = 0, "", SUM($T$68:$T$87))), "", (IF(SUM($T$68:$T$87) = 0, "", SUM($T$68:$T$87))))</f>
        <v>1397157.5209999999</v>
      </c>
      <c r="U67">
        <f ca="1">IF(ISERROR(IF(SUM($U$68:$U$87) = 0, "", SUM($U$68:$U$87))), "", (IF(SUM($U$68:$U$87) = 0, "", SUM($U$68:$U$87))))</f>
        <v>1381682.6800000002</v>
      </c>
      <c r="V67">
        <f ca="1">IF(ISERROR(IF(SUM($V$68:$V$87) = 0, "", SUM($V$68:$V$87))), "", (IF(SUM($V$68:$V$87) = 0, "", SUM($V$68:$V$87))))</f>
        <v>1288882.1310000001</v>
      </c>
      <c r="W67">
        <f ca="1">IF(ISERROR(IF(SUM($W$68:$W$87) = 0, "", SUM($W$68:$W$87))), "", (IF(SUM($W$68:$W$87) = 0, "", SUM($W$68:$W$87))))</f>
        <v>1308362.3390000002</v>
      </c>
      <c r="X67">
        <f ca="1">IF(ISERROR(IF(SUM($X$68:$X$87) = 0, "", SUM($X$68:$X$87))), "", (IF(SUM($X$68:$X$87) = 0, "", SUM($X$68:$X$87))))</f>
        <v>1315317.8220000002</v>
      </c>
      <c r="Y67">
        <f ca="1">IF(ISERROR(IF(SUM($Y$68:$Y$87) = 0, "", SUM($Y$68:$Y$87))), "", (IF(SUM($Y$68:$Y$87) = 0, "", SUM($Y$68:$Y$87))))</f>
        <v>1330385.4000000001</v>
      </c>
      <c r="Z67">
        <f ca="1">IF(ISERROR(IF(SUM($Z$68:$Z$87) = 0, "", SUM($Z$68:$Z$87))), "", (IF(SUM($Z$68:$Z$87) = 0, "", SUM($Z$68:$Z$87))))</f>
        <v>1108835.5989999999</v>
      </c>
      <c r="AA67">
        <f ca="1">IF(ISERROR(IF(SUM($AA$68:$AA$87) = 0, "", SUM($AA$68:$AA$87))), "", (IF(SUM($AA$68:$AA$87) = 0, "", SUM($AA$68:$AA$87))))</f>
        <v>1254461.5950000002</v>
      </c>
      <c r="AB67">
        <f ca="1">IF(ISERROR(IF(SUM($AB$68:$AB$87) = 0, "", SUM($AB$68:$AB$87))), "", (IF(SUM($AB$68:$AB$87) = 0, "", SUM($AB$68:$AB$87))))</f>
        <v>1257619.1300000001</v>
      </c>
      <c r="AC67">
        <f ca="1">IF(ISERROR(IF(SUM($AC$68:$AC$87) = 0, "", SUM($AC$68:$AC$87))), "", (IF(SUM($AC$68:$AC$87) = 0, "", SUM($AC$68:$AC$87))))</f>
        <v>1225517.6719999998</v>
      </c>
      <c r="AD67">
        <f ca="1">IF(ISERROR(IF(SUM($AD$68:$AD$87) = 0, "", SUM($AD$68:$AD$87))), "", (IF(SUM($AD$68:$AD$87) = 0, "", SUM($AD$68:$AD$87))))</f>
        <v>1047361.4619999999</v>
      </c>
      <c r="AE67">
        <f ca="1">IF(ISERROR(IF(SUM($AE$68:$AE$87) = 0, "", SUM($AE$68:$AE$87))), "", (IF(SUM($AE$68:$AE$87) = 0, "", SUM($AE$68:$AE$87))))</f>
        <v>1069170.7139999999</v>
      </c>
      <c r="AF67">
        <f ca="1">IF(ISERROR(IF(SUM($AF$68:$AF$87) = 0, "", SUM($AF$68:$AF$87))), "", (IF(SUM($AF$68:$AF$87) = 0, "", SUM($AF$68:$AF$87))))</f>
        <v>1052696.0259999998</v>
      </c>
      <c r="AG67">
        <f ca="1">IF(ISERROR(IF(SUM($AG$68:$AG$87) = 0, "", SUM($AG$68:$AG$87))), "", (IF(SUM($AG$68:$AG$87) = 0, "", SUM($AG$68:$AG$87))))</f>
        <v>1047462.7159999999</v>
      </c>
      <c r="AH67">
        <f ca="1">IF(ISERROR(IF(SUM($AH$68:$AH$87) = 0, "", SUM($AH$68:$AH$87))), "", (IF(SUM($AH$68:$AH$87) = 0, "", SUM($AH$68:$AH$87))))</f>
        <v>1010158.8879999999</v>
      </c>
      <c r="AI67">
        <f ca="1">IF(ISERROR(IF(SUM($AI$68:$AI$87) = 0, "", SUM($AI$68:$AI$87))), "", (IF(SUM($AI$68:$AI$87) = 0, "", SUM($AI$68:$AI$87))))</f>
        <v>1058473.1349999998</v>
      </c>
      <c r="AJ67">
        <f ca="1">IF(ISERROR(IF(SUM($AJ$68:$AJ$87) = 0, "", SUM($AJ$68:$AJ$87))), "", (IF(SUM($AJ$68:$AJ$87) = 0, "", SUM($AJ$68:$AJ$87))))</f>
        <v>1046877.7190000002</v>
      </c>
      <c r="AK67">
        <f ca="1">IF(ISERROR(IF(SUM($AK$68:$AK$87) = 0, "", SUM($AK$68:$AK$87))), "", (IF(SUM($AK$68:$AK$87) = 0, "", SUM($AK$68:$AK$87))))</f>
        <v>1013849.8770000001</v>
      </c>
      <c r="AL67">
        <f ca="1">IF(ISERROR(IF(SUM($AL$68:$AL$87) = 0, "", SUM($AL$68:$AL$87))), "", (IF(SUM($AL$68:$AL$87) = 0, "", SUM($AL$68:$AL$87))))</f>
        <v>956667.2159999999</v>
      </c>
      <c r="AM67">
        <f ca="1">IF(ISERROR(IF(SUM($AM$68:$AM$87) = 0, "", SUM($AM$68:$AM$87))), "", (IF(SUM($AM$68:$AM$87) = 0, "", SUM($AM$68:$AM$87))))</f>
        <v>995230.78299999982</v>
      </c>
      <c r="AN67">
        <f ca="1">IF(ISERROR(IF(SUM($AN$68:$AN$87) = 0, "", SUM($AN$68:$AN$87))), "", (IF(SUM($AN$68:$AN$87) = 0, "", SUM($AN$68:$AN$87))))</f>
        <v>995620.76400000008</v>
      </c>
      <c r="AO67">
        <f ca="1">IF(ISERROR(IF(SUM($AO$68:$AO$87) = 0, "", SUM($AO$68:$AO$87))), "", (IF(SUM($AO$68:$AO$87) = 0, "", SUM($AO$68:$AO$87))))</f>
        <v>976395.09400000004</v>
      </c>
      <c r="AP67">
        <f ca="1">IF(ISERROR(IF(SUM($AP$68:$AP$87) = 0, "", SUM($AP$68:$AP$87))), "", (IF(SUM($AP$68:$AP$87) = 0, "", SUM($AP$68:$AP$87))))</f>
        <v>924832.64500000014</v>
      </c>
      <c r="AQ67">
        <f ca="1">IF(ISERROR(IF(SUM($AQ$68:$AQ$87) = 0, "", SUM($AQ$68:$AQ$87))), "", (IF(SUM($AQ$68:$AQ$87) = 0, "", SUM($AQ$68:$AQ$87))))</f>
        <v>977667.45</v>
      </c>
      <c r="AR67">
        <f ca="1">IF(ISERROR(IF(SUM($AR$68:$AR$87) = 0, "", SUM($AR$68:$AR$87))), "", (IF(SUM($AR$68:$AR$87) = 0, "", SUM($AR$68:$AR$87))))</f>
        <v>1023398.775</v>
      </c>
      <c r="AS67">
        <f ca="1">IF(ISERROR(IF(SUM($AS$68:$AS$87) = 0, "", SUM($AS$68:$AS$87))), "", (IF(SUM($AS$68:$AS$87) = 0, "", SUM($AS$68:$AS$87))))</f>
        <v>1075261.7729999998</v>
      </c>
      <c r="AT67">
        <f ca="1">IF(ISERROR(IF(SUM($AT$68:$AT$87) = 0, "", SUM($AT$68:$AT$87))), "", (IF(SUM($AT$68:$AT$87) = 0, "", SUM($AT$68:$AT$87))))</f>
        <v>1065243.9330000002</v>
      </c>
      <c r="AU67">
        <f ca="1">IF(ISERROR(IF(SUM($AU$68:$AU$87) = 0, "", SUM($AU$68:$AU$87))), "", (IF(SUM($AU$68:$AU$87) = 0, "", SUM($AU$68:$AU$87))))</f>
        <v>1055119.6369999999</v>
      </c>
      <c r="AV67">
        <f ca="1">IF(ISERROR(IF(SUM($AV$68:$AV$87) = 0, "", SUM($AV$68:$AV$87))), "", (IF(SUM($AV$68:$AV$87) = 0, "", SUM($AV$68:$AV$87))))</f>
        <v>1048580.6070000001</v>
      </c>
      <c r="AW67">
        <f ca="1">IF(ISERROR(IF(SUM($AW$68:$AW$87) = 0, "", SUM($AW$68:$AW$87))), "", (IF(SUM($AW$68:$AW$87) = 0, "", SUM($AW$68:$AW$87))))</f>
        <v>999355.8670000002</v>
      </c>
      <c r="AX67">
        <f ca="1">IF(ISERROR(IF(SUM($AX$68:$AX$87) = 0, "", SUM($AX$68:$AX$87))), "", (IF(SUM($AX$68:$AX$87) = 0, "", SUM($AX$68:$AX$87))))</f>
        <v>1011678.3430000002</v>
      </c>
      <c r="AY67">
        <f ca="1">IF(ISERROR(IF(SUM($AY$68:$AY$87) = 0, "", SUM($AY$68:$AY$87))), "", (IF(SUM($AY$68:$AY$87) = 0, "", SUM($AY$68:$AY$87))))</f>
        <v>1026061.5299999999</v>
      </c>
      <c r="AZ67">
        <f ca="1">IF(ISERROR(IF(SUM($AZ$68:$AZ$87) = 0, "", SUM($AZ$68:$AZ$87))), "", (IF(SUM($AZ$68:$AZ$87) = 0, "", SUM($AZ$68:$AZ$87))))</f>
        <v>1060724.1809999996</v>
      </c>
      <c r="BA67">
        <f ca="1">IF(ISERROR(IF(SUM($BA$68:$BA$87) = 0, "", SUM($BA$68:$BA$87))), "", (IF(SUM($BA$68:$BA$87) = 0, "", SUM($BA$68:$BA$87))))</f>
        <v>1127849.6340000001</v>
      </c>
      <c r="BB67">
        <f ca="1">IF(ISERROR(IF(SUM($BB$68:$BB$87) = 0, "", SUM($BB$68:$BB$87))), "", (IF(SUM($BB$68:$BB$87) = 0, "", SUM($BB$68:$BB$87))))</f>
        <v>1124616.4930000002</v>
      </c>
      <c r="BC67">
        <f ca="1">IF(ISERROR(IF(SUM($BC$68:$BC$87) = 0, "", SUM($BC$68:$BC$87))), "", (IF(SUM($BC$68:$BC$87) = 0, "", SUM($BC$68:$BC$87))))</f>
        <v>1098323.3859999999</v>
      </c>
      <c r="BD67">
        <f ca="1">IF(ISERROR(IF(SUM($BD$68:$BD$87) = 0, "", SUM($BD$68:$BD$87))), "", (IF(SUM($BD$68:$BD$87) = 0, "", SUM($BD$68:$BD$87))))</f>
        <v>1060270.7409999997</v>
      </c>
      <c r="BE67">
        <f ca="1">IF(ISERROR(IF(SUM($BE$68:$BE$87) = 0, "", SUM($BE$68:$BE$87))), "", (IF(SUM($BE$68:$BE$87) = 0, "", SUM($BE$68:$BE$87))))</f>
        <v>1109372.5269999998</v>
      </c>
      <c r="BF67">
        <f ca="1">IF(ISERROR(IF(SUM($BF$68:$BF$87) = 0, "", SUM($BF$68:$BF$87))), "", (IF(SUM($BF$68:$BF$87) = 0, "", SUM($BF$68:$BF$87))))</f>
        <v>1057533.7769999998</v>
      </c>
      <c r="BG67">
        <f ca="1">IF(ISERROR(IF(SUM($BG$68:$BG$87) = 0, "", SUM($BG$68:$BG$87))), "", (IF(SUM($BG$68:$BG$87) = 0, "", SUM($BG$68:$BG$87))))</f>
        <v>1114916.027</v>
      </c>
      <c r="BH67">
        <f ca="1">IF(ISERROR(IF(SUM($BH$68:$BH$87) = 0, "", SUM($BH$68:$BH$87))), "", (IF(SUM($BH$68:$BH$87) = 0, "", SUM($BH$68:$BH$87))))</f>
        <v>1107624.8240000003</v>
      </c>
      <c r="BI67">
        <f ca="1">IF(ISERROR(IF(SUM($BI$68:$BI$87) = 0, "", SUM($BI$68:$BI$87))), "", (IF(SUM($BI$68:$BI$87) = 0, "", SUM($BI$68:$BI$87))))</f>
        <v>1164983.8680000002</v>
      </c>
      <c r="BJ67">
        <f ca="1">IF(ISERROR(IF(SUM($BJ$68:$BJ$87) = 0, "", SUM($BJ$68:$BJ$87))), "", (IF(SUM($BJ$68:$BJ$87) = 0, "", SUM($BJ$68:$BJ$87))))</f>
        <v>1137414.1869999999</v>
      </c>
      <c r="BK67">
        <f ca="1">IF(ISERROR(IF(SUM($BK$68:$BK$87) = 0, "", SUM($BK$68:$BK$87))), "", (IF(SUM($BK$68:$BK$87) = 0, "", SUM($BK$68:$BK$87))))</f>
        <v>1174915.4730000002</v>
      </c>
      <c r="BL67">
        <f ca="1">IF(ISERROR(IF(SUM($BL$68:$BL$87) = 0, "", SUM($BL$68:$BL$87))), "", (IF(SUM($BL$68:$BL$87) = 0, "", SUM($BL$68:$BL$87))))</f>
        <v>1045194.2820000001</v>
      </c>
      <c r="BM67">
        <f ca="1">IF(ISERROR(IF(SUM($BM$68:$BM$87) = 0, "", SUM($BM$68:$BM$87))), "", (IF(SUM($BM$68:$BM$87) = 0, "", SUM($BM$68:$BM$87))))</f>
        <v>4329.08</v>
      </c>
      <c r="BN67">
        <f>1627213.531</f>
        <v>1627213.531</v>
      </c>
      <c r="BO67">
        <f>1813950.205</f>
        <v>1813950.2050000001</v>
      </c>
      <c r="BP67">
        <f>1717367.795</f>
        <v>1717367.7949999999</v>
      </c>
      <c r="BQ67">
        <f>1720309.949</f>
        <v>1720309.949</v>
      </c>
      <c r="BR67">
        <f>1435668.569</f>
        <v>1435668.5689999999</v>
      </c>
      <c r="BS67">
        <f>1531241.656</f>
        <v>1531241.656</v>
      </c>
      <c r="BT67">
        <f>1596169.539</f>
        <v>1596169.5390000001</v>
      </c>
      <c r="BU67">
        <f>1480738.465</f>
        <v>1480738.4650000001</v>
      </c>
      <c r="BV67">
        <f>1297601.746</f>
        <v>1297601.746</v>
      </c>
      <c r="BW67">
        <f>1401247.682</f>
        <v>1401247.682</v>
      </c>
      <c r="BX67">
        <f>1335899.836</f>
        <v>1335899.8359999999</v>
      </c>
      <c r="BY67">
        <f>1420137.479</f>
        <v>1420137.4790000001</v>
      </c>
      <c r="BZ67">
        <f>1219574.043</f>
        <v>1219574.0430000001</v>
      </c>
      <c r="CA67">
        <f>1378307.943</f>
        <v>1378307.943</v>
      </c>
      <c r="CB67">
        <f>1397157.521</f>
        <v>1397157.5209999999</v>
      </c>
      <c r="CC67">
        <f>1381682.68</f>
        <v>1381682.68</v>
      </c>
      <c r="CD67">
        <f>1288882.131</f>
        <v>1288882.1310000001</v>
      </c>
      <c r="CE67">
        <f>1308362.339</f>
        <v>1308362.3389999999</v>
      </c>
      <c r="CF67">
        <f>1315317.822</f>
        <v>1315317.8219999999</v>
      </c>
      <c r="CG67">
        <f>1330385.4</f>
        <v>1330385.3999999999</v>
      </c>
      <c r="CH67">
        <f>1108835.599</f>
        <v>1108835.5989999999</v>
      </c>
      <c r="CI67">
        <f>1254461.595</f>
        <v>1254461.595</v>
      </c>
      <c r="CJ67">
        <f>1257619.13</f>
        <v>1257619.1299999999</v>
      </c>
      <c r="CK67">
        <f>1225517.672</f>
        <v>1225517.672</v>
      </c>
      <c r="CL67">
        <f>1047361.462</f>
        <v>1047361.4620000001</v>
      </c>
      <c r="CM67">
        <f>1069170.714</f>
        <v>1069170.7139999999</v>
      </c>
      <c r="CN67">
        <f>1052696.026</f>
        <v>1052696.0260000001</v>
      </c>
      <c r="CO67">
        <f>1047462.716</f>
        <v>1047462.716</v>
      </c>
      <c r="CP67">
        <f>1010158.888</f>
        <v>1010158.888</v>
      </c>
      <c r="CQ67">
        <f>1058473.135</f>
        <v>1058473.135</v>
      </c>
      <c r="CR67">
        <f>1046877.719</f>
        <v>1046877.719</v>
      </c>
      <c r="CS67">
        <f>1013849.877</f>
        <v>1013849.877</v>
      </c>
      <c r="CT67">
        <f>956667.216</f>
        <v>956667.21600000001</v>
      </c>
      <c r="CU67">
        <f>995230.783</f>
        <v>995230.78300000005</v>
      </c>
      <c r="CV67">
        <f>995620.764</f>
        <v>995620.76399999997</v>
      </c>
      <c r="CW67">
        <f>976395.094</f>
        <v>976395.09400000004</v>
      </c>
      <c r="CX67">
        <f>924832.645</f>
        <v>924832.64500000002</v>
      </c>
      <c r="CY67">
        <f>977667.45</f>
        <v>977667.45</v>
      </c>
      <c r="CZ67">
        <f>1023398.775</f>
        <v>1023398.775</v>
      </c>
      <c r="DA67">
        <f>1075261.773</f>
        <v>1075261.773</v>
      </c>
      <c r="DB67">
        <f>1065243.933</f>
        <v>1065243.933</v>
      </c>
      <c r="DC67">
        <f>1055119.637</f>
        <v>1055119.6370000001</v>
      </c>
      <c r="DD67">
        <f>1048580.607</f>
        <v>1048580.6070000001</v>
      </c>
      <c r="DE67">
        <f>999355.867</f>
        <v>999355.86699999997</v>
      </c>
      <c r="DF67">
        <f>1011678.343</f>
        <v>1011678.343</v>
      </c>
      <c r="DG67">
        <f>1026061.53</f>
        <v>1026061.53</v>
      </c>
      <c r="DH67">
        <f>1060724.181</f>
        <v>1060724.1810000001</v>
      </c>
      <c r="DI67">
        <f>1127849.634</f>
        <v>1127849.6340000001</v>
      </c>
      <c r="DJ67">
        <f>1124616.493</f>
        <v>1124616.493</v>
      </c>
      <c r="DK67">
        <f>1098323.386</f>
        <v>1098323.3859999999</v>
      </c>
      <c r="DL67">
        <f>1060270.741</f>
        <v>1060270.7409999999</v>
      </c>
      <c r="DM67">
        <f>1109372.527</f>
        <v>1109372.527</v>
      </c>
      <c r="DN67">
        <f>1057533.777</f>
        <v>1057533.777</v>
      </c>
      <c r="DO67">
        <f>1114916.027</f>
        <v>1114916.027</v>
      </c>
      <c r="DP67">
        <f>1107624.824</f>
        <v>1107624.824</v>
      </c>
      <c r="DQ67">
        <f>1164983.868</f>
        <v>1164983.868</v>
      </c>
      <c r="DR67">
        <f>1137414.187</f>
        <v>1137414.1869999999</v>
      </c>
      <c r="DS67">
        <f>1174915.473</f>
        <v>1174915.473</v>
      </c>
      <c r="DT67">
        <f>1045194.282</f>
        <v>1045194.282</v>
      </c>
      <c r="DU67">
        <f>4329.08</f>
        <v>4329.08</v>
      </c>
    </row>
    <row r="68" spans="1:125" x14ac:dyDescent="0.25">
      <c r="A68" t="str">
        <f>"            Bank of America Corp"</f>
        <v xml:space="preserve">            Bank of America Corp</v>
      </c>
      <c r="B68" t="str">
        <f>"BAC US Equity"</f>
        <v>BAC US Equity</v>
      </c>
      <c r="C68" t="str">
        <f t="shared" ref="C68:C87" si="9">"FC070"</f>
        <v>FC070</v>
      </c>
      <c r="D68" t="str">
        <f t="shared" ref="D68:D87" si="10">"FDIC_TRADING_ACCT_ASSETS"</f>
        <v>FDIC_TRADING_ACCT_ASSETS</v>
      </c>
      <c r="E68" t="str">
        <f t="shared" ref="E68:E87" si="11">"Dynamic"</f>
        <v>Dynamic</v>
      </c>
      <c r="F68">
        <f ca="1">IF(AND(ISNUMBER($F$207),$B$145=1),$F$207,HLOOKUP(INDIRECT(ADDRESS(2,COLUMN())),OFFSET($BN$2,0,0,ROW()-1,60),ROW()-1,FALSE))</f>
        <v>367275</v>
      </c>
      <c r="G68">
        <f ca="1">IF(AND(ISNUMBER($G$207),$B$145=1),$G$207,HLOOKUP(INDIRECT(ADDRESS(2,COLUMN())),OFFSET($BN$2,0,0,ROW()-1,60),ROW()-1,FALSE))</f>
        <v>386057</v>
      </c>
      <c r="H68">
        <f ca="1">IF(AND(ISNUMBER($H$207),$B$145=1),$H$207,HLOOKUP(INDIRECT(ADDRESS(2,COLUMN())),OFFSET($BN$2,0,0,ROW()-1,60),ROW()-1,FALSE))</f>
        <v>351987</v>
      </c>
      <c r="I68">
        <f ca="1">IF(AND(ISNUMBER($I$207),$B$145=1),$I$207,HLOOKUP(INDIRECT(ADDRESS(2,COLUMN())),OFFSET($BN$2,0,0,ROW()-1,60),ROW()-1,FALSE))</f>
        <v>364440</v>
      </c>
      <c r="J68">
        <f ca="1">IF(AND(ISNUMBER($J$207),$B$145=1),$J$207,HLOOKUP(INDIRECT(ADDRESS(2,COLUMN())),OFFSET($BN$2,0,0,ROW()-1,60),ROW()-1,FALSE))</f>
        <v>326728</v>
      </c>
      <c r="K68">
        <f ca="1">IF(AND(ISNUMBER($K$207),$B$145=1),$K$207,HLOOKUP(INDIRECT(ADDRESS(2,COLUMN())),OFFSET($BN$2,0,0,ROW()-1,60),ROW()-1,FALSE))</f>
        <v>363628</v>
      </c>
      <c r="L68">
        <f ca="1">IF(AND(ISNUMBER($L$207),$B$145=1),$L$207,HLOOKUP(INDIRECT(ADDRESS(2,COLUMN())),OFFSET($BN$2,0,0,ROW()-1,60),ROW()-1,FALSE))</f>
        <v>367780</v>
      </c>
      <c r="M68">
        <f ca="1">IF(AND(ISNUMBER($M$207),$B$145=1),$M$207,HLOOKUP(INDIRECT(ADDRESS(2,COLUMN())),OFFSET($BN$2,0,0,ROW()-1,60),ROW()-1,FALSE))</f>
        <v>366006</v>
      </c>
      <c r="N68">
        <f ca="1">IF(AND(ISNUMBER($N$207),$B$145=1),$N$207,HLOOKUP(INDIRECT(ADDRESS(2,COLUMN())),OFFSET($BN$2,0,0,ROW()-1,60),ROW()-1,FALSE))</f>
        <v>353420</v>
      </c>
      <c r="O68">
        <f ca="1">IF(AND(ISNUMBER($O$207),$B$145=1),$O$207,HLOOKUP(INDIRECT(ADDRESS(2,COLUMN())),OFFSET($BN$2,0,0,ROW()-1,60),ROW()-1,FALSE))</f>
        <v>374876</v>
      </c>
      <c r="P68">
        <f ca="1">IF(AND(ISNUMBER($P$207),$B$145=1),$P$207,HLOOKUP(INDIRECT(ADDRESS(2,COLUMN())),OFFSET($BN$2,0,0,ROW()-1,60),ROW()-1,FALSE))</f>
        <v>363345</v>
      </c>
      <c r="Q68">
        <f ca="1">IF(AND(ISNUMBER($Q$207),$B$145=1),$Q$207,HLOOKUP(INDIRECT(ADDRESS(2,COLUMN())),OFFSET($BN$2,0,0,ROW()-1,60),ROW()-1,FALSE))</f>
        <v>369593</v>
      </c>
      <c r="R68">
        <f ca="1">IF(AND(ISNUMBER($R$207),$B$145=1),$R$207,HLOOKUP(INDIRECT(ADDRESS(2,COLUMN())),OFFSET($BN$2,0,0,ROW()-1,60),ROW()-1,FALSE))</f>
        <v>290087</v>
      </c>
      <c r="S68">
        <f ca="1">IF(AND(ISNUMBER($S$207),$B$145=1),$S$207,HLOOKUP(INDIRECT(ADDRESS(2,COLUMN())),OFFSET($BN$2,0,0,ROW()-1,60),ROW()-1,FALSE))</f>
        <v>337848</v>
      </c>
      <c r="T68">
        <f ca="1">IF(AND(ISNUMBER($T$207),$B$145=1),$T$207,HLOOKUP(INDIRECT(ADDRESS(2,COLUMN())),OFFSET($BN$2,0,0,ROW()-1,60),ROW()-1,FALSE))</f>
        <v>341348</v>
      </c>
      <c r="U68">
        <f ca="1">IF(AND(ISNUMBER($U$207),$B$145=1),$U$207,HLOOKUP(INDIRECT(ADDRESS(2,COLUMN())),OFFSET($BN$2,0,0,ROW()-1,60),ROW()-1,FALSE))</f>
        <v>331848</v>
      </c>
      <c r="V68">
        <f ca="1">IF(AND(ISNUMBER($V$207),$B$145=1),$V$207,HLOOKUP(INDIRECT(ADDRESS(2,COLUMN())),OFFSET($BN$2,0,0,ROW()-1,60),ROW()-1,FALSE))</f>
        <v>256866</v>
      </c>
      <c r="W68">
        <f ca="1">IF(AND(ISNUMBER($W$207),$B$145=1),$W$207,HLOOKUP(INDIRECT(ADDRESS(2,COLUMN())),OFFSET($BN$2,0,0,ROW()-1,60),ROW()-1,FALSE))</f>
        <v>310150</v>
      </c>
      <c r="X68">
        <f ca="1">IF(AND(ISNUMBER($X$207),$B$145=1),$X$207,HLOOKUP(INDIRECT(ADDRESS(2,COLUMN())),OFFSET($BN$2,0,0,ROW()-1,60),ROW()-1,FALSE))</f>
        <v>283751</v>
      </c>
      <c r="Y68">
        <f ca="1">IF(AND(ISNUMBER($Y$207),$B$145=1),$Y$207,HLOOKUP(INDIRECT(ADDRESS(2,COLUMN())),OFFSET($BN$2,0,0,ROW()-1,60),ROW()-1,FALSE))</f>
        <v>262239</v>
      </c>
      <c r="Z68">
        <f ca="1">IF(AND(ISNUMBER($Z$207),$B$145=1),$Z$207,HLOOKUP(INDIRECT(ADDRESS(2,COLUMN())),OFFSET($BN$2,0,0,ROW()-1,60),ROW()-1,FALSE))</f>
        <v>277292</v>
      </c>
      <c r="AA68">
        <f ca="1">IF(AND(ISNUMBER($AA$207),$B$145=1),$AA$207,HLOOKUP(INDIRECT(ADDRESS(2,COLUMN())),OFFSET($BN$2,0,0,ROW()-1,60),ROW()-1,FALSE))</f>
        <v>314659</v>
      </c>
      <c r="AB68">
        <f ca="1">IF(AND(ISNUMBER($AB$207),$B$145=1),$AB$207,HLOOKUP(INDIRECT(ADDRESS(2,COLUMN())),OFFSET($BN$2,0,0,ROW()-1,60),ROW()-1,FALSE))</f>
        <v>304461</v>
      </c>
      <c r="AC68">
        <f ca="1">IF(AND(ISNUMBER($AC$207),$B$145=1),$AC$207,HLOOKUP(INDIRECT(ADDRESS(2,COLUMN())),OFFSET($BN$2,0,0,ROW()-1,60),ROW()-1,FALSE))</f>
        <v>290022</v>
      </c>
      <c r="AD68">
        <f ca="1">IF(AND(ISNUMBER($AD$207),$B$145=1),$AD$207,HLOOKUP(INDIRECT(ADDRESS(2,COLUMN())),OFFSET($BN$2,0,0,ROW()-1,60),ROW()-1,FALSE))</f>
        <v>265770</v>
      </c>
      <c r="AE68">
        <f ca="1">IF(AND(ISNUMBER($AE$207),$B$145=1),$AE$207,HLOOKUP(INDIRECT(ADDRESS(2,COLUMN())),OFFSET($BN$2,0,0,ROW()-1,60),ROW()-1,FALSE))</f>
        <v>276220</v>
      </c>
      <c r="AF68">
        <f ca="1">IF(AND(ISNUMBER($AF$207),$B$145=1),$AF$207,HLOOKUP(INDIRECT(ADDRESS(2,COLUMN())),OFFSET($BN$2,0,0,ROW()-1,60),ROW()-1,FALSE))</f>
        <v>260471</v>
      </c>
      <c r="AG68">
        <f ca="1">IF(AND(ISNUMBER($AG$207),$B$145=1),$AG$207,HLOOKUP(INDIRECT(ADDRESS(2,COLUMN())),OFFSET($BN$2,0,0,ROW()-1,60),ROW()-1,FALSE))</f>
        <v>258614</v>
      </c>
      <c r="AH68">
        <f ca="1">IF(AND(ISNUMBER($AH$207),$B$145=1),$AH$207,HLOOKUP(INDIRECT(ADDRESS(2,COLUMN())),OFFSET($BN$2,0,0,ROW()-1,60),ROW()-1,FALSE))</f>
        <v>258907</v>
      </c>
      <c r="AI68">
        <f ca="1">IF(AND(ISNUMBER($AI$207),$B$145=1),$AI$207,HLOOKUP(INDIRECT(ADDRESS(2,COLUMN())),OFFSET($BN$2,0,0,ROW()-1,60),ROW()-1,FALSE))</f>
        <v>265071</v>
      </c>
      <c r="AJ68">
        <f ca="1">IF(AND(ISNUMBER($AJ$207),$B$145=1),$AJ$207,HLOOKUP(INDIRECT(ADDRESS(2,COLUMN())),OFFSET($BN$2,0,0,ROW()-1,60),ROW()-1,FALSE))</f>
        <v>270253</v>
      </c>
      <c r="AK68">
        <f ca="1">IF(AND(ISNUMBER($AK$207),$B$145=1),$AK$207,HLOOKUP(INDIRECT(ADDRESS(2,COLUMN())),OFFSET($BN$2,0,0,ROW()-1,60),ROW()-1,FALSE))</f>
        <v>261329</v>
      </c>
      <c r="AL68">
        <f ca="1">IF(AND(ISNUMBER($AL$207),$B$145=1),$AL$207,HLOOKUP(INDIRECT(ADDRESS(2,COLUMN())),OFFSET($BN$2,0,0,ROW()-1,60),ROW()-1,FALSE))</f>
        <v>241052</v>
      </c>
      <c r="AM68">
        <f ca="1">IF(AND(ISNUMBER($AM$207),$B$145=1),$AM$207,HLOOKUP(INDIRECT(ADDRESS(2,COLUMN())),OFFSET($BN$2,0,0,ROW()-1,60),ROW()-1,FALSE))</f>
        <v>254908</v>
      </c>
      <c r="AN68">
        <f ca="1">IF(AND(ISNUMBER($AN$207),$B$145=1),$AN$207,HLOOKUP(INDIRECT(ADDRESS(2,COLUMN())),OFFSET($BN$2,0,0,ROW()-1,60),ROW()-1,FALSE))</f>
        <v>247635</v>
      </c>
      <c r="AO68">
        <f ca="1">IF(AND(ISNUMBER($AO$207),$B$145=1),$AO$207,HLOOKUP(INDIRECT(ADDRESS(2,COLUMN())),OFFSET($BN$2,0,0,ROW()-1,60),ROW()-1,FALSE))</f>
        <v>248748</v>
      </c>
      <c r="AP68">
        <f ca="1">IF(AND(ISNUMBER($AP$207),$B$145=1),$AP$207,HLOOKUP(INDIRECT(ADDRESS(2,COLUMN())),OFFSET($BN$2,0,0,ROW()-1,60),ROW()-1,FALSE))</f>
        <v>241957</v>
      </c>
      <c r="AQ68">
        <f ca="1">IF(AND(ISNUMBER($AQ$207),$B$145=1),$AQ$207,HLOOKUP(INDIRECT(ADDRESS(2,COLUMN())),OFFSET($BN$2,0,0,ROW()-1,60),ROW()-1,FALSE))</f>
        <v>261550</v>
      </c>
      <c r="AR68">
        <f ca="1">IF(AND(ISNUMBER($AR$207),$B$145=1),$AR$207,HLOOKUP(INDIRECT(ADDRESS(2,COLUMN())),OFFSET($BN$2,0,0,ROW()-1,60),ROW()-1,FALSE))</f>
        <v>275438</v>
      </c>
      <c r="AS68">
        <f ca="1">IF(AND(ISNUMBER($AS$207),$B$145=1),$AS$207,HLOOKUP(INDIRECT(ADDRESS(2,COLUMN())),OFFSET($BN$2,0,0,ROW()-1,60),ROW()-1,FALSE))</f>
        <v>279810</v>
      </c>
      <c r="AT68">
        <f ca="1">IF(AND(ISNUMBER($AT$207),$B$145=1),$AT$207,HLOOKUP(INDIRECT(ADDRESS(2,COLUMN())),OFFSET($BN$2,0,0,ROW()-1,60),ROW()-1,FALSE))</f>
        <v>278851</v>
      </c>
      <c r="AU68">
        <f ca="1">IF(AND(ISNUMBER($AU$207),$B$145=1),$AU$207,HLOOKUP(INDIRECT(ADDRESS(2,COLUMN())),OFFSET($BN$2,0,0,ROW()-1,60),ROW()-1,FALSE))</f>
        <v>274243</v>
      </c>
      <c r="AV68">
        <f ca="1">IF(AND(ISNUMBER($AV$207),$B$145=1),$AV$207,HLOOKUP(INDIRECT(ADDRESS(2,COLUMN())),OFFSET($BN$2,0,0,ROW()-1,60),ROW()-1,FALSE))</f>
        <v>282383</v>
      </c>
      <c r="AW68">
        <f ca="1">IF(AND(ISNUMBER($AW$207),$B$145=1),$AW$207,HLOOKUP(INDIRECT(ADDRESS(2,COLUMN())),OFFSET($BN$2,0,0,ROW()-1,60),ROW()-1,FALSE))</f>
        <v>271136</v>
      </c>
      <c r="AX68">
        <f ca="1">IF(AND(ISNUMBER($AX$207),$B$145=1),$AX$207,HLOOKUP(INDIRECT(ADDRESS(2,COLUMN())),OFFSET($BN$2,0,0,ROW()-1,60),ROW()-1,FALSE))</f>
        <v>276875</v>
      </c>
      <c r="AY68">
        <f ca="1">IF(AND(ISNUMBER($AY$207),$B$145=1),$AY$207,HLOOKUP(INDIRECT(ADDRESS(2,COLUMN())),OFFSET($BN$2,0,0,ROW()-1,60),ROW()-1,FALSE))</f>
        <v>280121</v>
      </c>
      <c r="AZ68">
        <f ca="1">IF(AND(ISNUMBER($AZ$207),$B$145=1),$AZ$207,HLOOKUP(INDIRECT(ADDRESS(2,COLUMN())),OFFSET($BN$2,0,0,ROW()-1,60),ROW()-1,FALSE))</f>
        <v>283242</v>
      </c>
      <c r="BA68">
        <f ca="1">IF(AND(ISNUMBER($BA$207),$B$145=1),$BA$207,HLOOKUP(INDIRECT(ADDRESS(2,COLUMN())),OFFSET($BN$2,0,0,ROW()-1,60),ROW()-1,FALSE))</f>
        <v>314171</v>
      </c>
      <c r="BB68">
        <f ca="1">IF(AND(ISNUMBER($BB$207),$B$145=1),$BB$207,HLOOKUP(INDIRECT(ADDRESS(2,COLUMN())),OFFSET($BN$2,0,0,ROW()-1,60),ROW()-1,FALSE))</f>
        <v>284875.95699999999</v>
      </c>
      <c r="BC68">
        <f ca="1">IF(AND(ISNUMBER($BC$207),$B$145=1),$BC$207,HLOOKUP(INDIRECT(ADDRESS(2,COLUMN())),OFFSET($BN$2,0,0,ROW()-1,60),ROW()-1,FALSE))</f>
        <v>264044.83600000001</v>
      </c>
      <c r="BD68">
        <f ca="1">IF(AND(ISNUMBER($BD$207),$B$145=1),$BD$207,HLOOKUP(INDIRECT(ADDRESS(2,COLUMN())),OFFSET($BN$2,0,0,ROW()-1,60),ROW()-1,FALSE))</f>
        <v>258431.951</v>
      </c>
      <c r="BE68">
        <f ca="1">IF(AND(ISNUMBER($BE$207),$B$145=1),$BE$207,HLOOKUP(INDIRECT(ADDRESS(2,COLUMN())),OFFSET($BN$2,0,0,ROW()-1,60),ROW()-1,FALSE))</f>
        <v>259199.71799999999</v>
      </c>
      <c r="BF68">
        <f ca="1">IF(AND(ISNUMBER($BF$207),$B$145=1),$BF$207,HLOOKUP(INDIRECT(ADDRESS(2,COLUMN())),OFFSET($BN$2,0,0,ROW()-1,60),ROW()-1,FALSE))</f>
        <v>232609.60699999999</v>
      </c>
      <c r="BG68">
        <f ca="1">IF(AND(ISNUMBER($BG$207),$B$145=1),$BG$207,HLOOKUP(INDIRECT(ADDRESS(2,COLUMN())),OFFSET($BN$2,0,0,ROW()-1,60),ROW()-1,FALSE))</f>
        <v>243781.85500000001</v>
      </c>
      <c r="BH68">
        <f ca="1">IF(AND(ISNUMBER($BH$207),$B$145=1),$BH$207,HLOOKUP(INDIRECT(ADDRESS(2,COLUMN())),OFFSET($BN$2,0,0,ROW()-1,60),ROW()-1,FALSE))</f>
        <v>253123.179</v>
      </c>
      <c r="BI68">
        <f ca="1">IF(AND(ISNUMBER($BI$207),$B$145=1),$BI$207,HLOOKUP(INDIRECT(ADDRESS(2,COLUMN())),OFFSET($BN$2,0,0,ROW()-1,60),ROW()-1,FALSE))</f>
        <v>263871.27100000001</v>
      </c>
      <c r="BJ68">
        <f ca="1">IF(AND(ISNUMBER($BJ$207),$B$145=1),$BJ$207,HLOOKUP(INDIRECT(ADDRESS(2,COLUMN())),OFFSET($BN$2,0,0,ROW()-1,60),ROW()-1,FALSE))</f>
        <v>257688.81599999999</v>
      </c>
      <c r="BK68">
        <f ca="1">IF(AND(ISNUMBER($BK$207),$B$145=1),$BK$207,HLOOKUP(INDIRECT(ADDRESS(2,COLUMN())),OFFSET($BN$2,0,0,ROW()-1,60),ROW()-1,FALSE))</f>
        <v>285809.27799999999</v>
      </c>
      <c r="BL68">
        <f ca="1">IF(AND(ISNUMBER($BL$207),$B$145=1),$BL$207,HLOOKUP(INDIRECT(ADDRESS(2,COLUMN())),OFFSET($BN$2,0,0,ROW()-1,60),ROW()-1,FALSE))</f>
        <v>277100.011</v>
      </c>
      <c r="BM68" t="str">
        <f ca="1">IF(AND(ISNUMBER($BM$207),$B$145=1),$BM$207,HLOOKUP(INDIRECT(ADDRESS(2,COLUMN())),OFFSET($BN$2,0,0,ROW()-1,60),ROW()-1,FALSE))</f>
        <v/>
      </c>
      <c r="BN68">
        <f>367275</f>
        <v>367275</v>
      </c>
      <c r="BO68">
        <f>386057</f>
        <v>386057</v>
      </c>
      <c r="BP68">
        <f>351987</f>
        <v>351987</v>
      </c>
      <c r="BQ68">
        <f>364440</f>
        <v>364440</v>
      </c>
      <c r="BR68">
        <f>326728</f>
        <v>326728</v>
      </c>
      <c r="BS68">
        <f>363628</f>
        <v>363628</v>
      </c>
      <c r="BT68">
        <f>367780</f>
        <v>367780</v>
      </c>
      <c r="BU68">
        <f>366006</f>
        <v>366006</v>
      </c>
      <c r="BV68">
        <f>353420</f>
        <v>353420</v>
      </c>
      <c r="BW68">
        <f>374876</f>
        <v>374876</v>
      </c>
      <c r="BX68">
        <f>363345</f>
        <v>363345</v>
      </c>
      <c r="BY68">
        <f>369593</f>
        <v>369593</v>
      </c>
      <c r="BZ68">
        <f>290087</f>
        <v>290087</v>
      </c>
      <c r="CA68">
        <f>337848</f>
        <v>337848</v>
      </c>
      <c r="CB68">
        <f>341348</f>
        <v>341348</v>
      </c>
      <c r="CC68">
        <f>331848</f>
        <v>331848</v>
      </c>
      <c r="CD68">
        <f>256866</f>
        <v>256866</v>
      </c>
      <c r="CE68">
        <f>310150</f>
        <v>310150</v>
      </c>
      <c r="CF68">
        <f>283751</f>
        <v>283751</v>
      </c>
      <c r="CG68">
        <f>262239</f>
        <v>262239</v>
      </c>
      <c r="CH68">
        <f>277292</f>
        <v>277292</v>
      </c>
      <c r="CI68">
        <f>314659</f>
        <v>314659</v>
      </c>
      <c r="CJ68">
        <f>304461</f>
        <v>304461</v>
      </c>
      <c r="CK68">
        <f>290022</f>
        <v>290022</v>
      </c>
      <c r="CL68">
        <f>265770</f>
        <v>265770</v>
      </c>
      <c r="CM68">
        <f>276220</f>
        <v>276220</v>
      </c>
      <c r="CN68">
        <f>260471</f>
        <v>260471</v>
      </c>
      <c r="CO68">
        <f>258614</f>
        <v>258614</v>
      </c>
      <c r="CP68">
        <f>258907</f>
        <v>258907</v>
      </c>
      <c r="CQ68">
        <f>265071</f>
        <v>265071</v>
      </c>
      <c r="CR68">
        <f>270253</f>
        <v>270253</v>
      </c>
      <c r="CS68">
        <f>261329</f>
        <v>261329</v>
      </c>
      <c r="CT68">
        <f>241052</f>
        <v>241052</v>
      </c>
      <c r="CU68">
        <f>254908</f>
        <v>254908</v>
      </c>
      <c r="CV68">
        <f>247635</f>
        <v>247635</v>
      </c>
      <c r="CW68">
        <f>248748</f>
        <v>248748</v>
      </c>
      <c r="CX68">
        <f>241957</f>
        <v>241957</v>
      </c>
      <c r="CY68">
        <f>261550</f>
        <v>261550</v>
      </c>
      <c r="CZ68">
        <f>275438</f>
        <v>275438</v>
      </c>
      <c r="DA68">
        <f>279810</f>
        <v>279810</v>
      </c>
      <c r="DB68">
        <f>278851</f>
        <v>278851</v>
      </c>
      <c r="DC68">
        <f>274243</f>
        <v>274243</v>
      </c>
      <c r="DD68">
        <f>282383</f>
        <v>282383</v>
      </c>
      <c r="DE68">
        <f>271136</f>
        <v>271136</v>
      </c>
      <c r="DF68">
        <f>276875</f>
        <v>276875</v>
      </c>
      <c r="DG68">
        <f>280121</f>
        <v>280121</v>
      </c>
      <c r="DH68">
        <f>283242</f>
        <v>283242</v>
      </c>
      <c r="DI68">
        <f>314171</f>
        <v>314171</v>
      </c>
      <c r="DJ68">
        <f>284875.957</f>
        <v>284875.95699999999</v>
      </c>
      <c r="DK68">
        <f>264044.836</f>
        <v>264044.83600000001</v>
      </c>
      <c r="DL68">
        <f>258431.951</f>
        <v>258431.951</v>
      </c>
      <c r="DM68">
        <f>259199.718</f>
        <v>259199.71799999999</v>
      </c>
      <c r="DN68">
        <f>232609.607</f>
        <v>232609.60699999999</v>
      </c>
      <c r="DO68">
        <f>243781.855</f>
        <v>243781.85500000001</v>
      </c>
      <c r="DP68">
        <f>253123.179</f>
        <v>253123.179</v>
      </c>
      <c r="DQ68">
        <f>263871.271</f>
        <v>263871.27100000001</v>
      </c>
      <c r="DR68">
        <f>257688.816</f>
        <v>257688.81599999999</v>
      </c>
      <c r="DS68">
        <f>285809.278</f>
        <v>285809.27799999999</v>
      </c>
      <c r="DT68">
        <f>277100.011</f>
        <v>277100.011</v>
      </c>
      <c r="DU68" t="str">
        <f>""</f>
        <v/>
      </c>
    </row>
    <row r="69" spans="1:125" x14ac:dyDescent="0.25">
      <c r="A69" t="str">
        <f>"            Citigroup Inc"</f>
        <v xml:space="preserve">            Citigroup Inc</v>
      </c>
      <c r="B69" t="str">
        <f>"C US Equity"</f>
        <v>C US Equity</v>
      </c>
      <c r="C69" t="str">
        <f t="shared" si="9"/>
        <v>FC070</v>
      </c>
      <c r="D69" t="str">
        <f t="shared" si="10"/>
        <v>FDIC_TRADING_ACCT_ASSETS</v>
      </c>
      <c r="E69" t="str">
        <f t="shared" si="11"/>
        <v>Dynamic</v>
      </c>
      <c r="F69">
        <f ca="1">IF(AND(ISNUMBER($F$208),$B$145=1),$F$208,HLOOKUP(INDIRECT(ADDRESS(2,COLUMN())),OFFSET($BN$2,0,0,ROW()-1,60),ROW()-1,FALSE))</f>
        <v>439883</v>
      </c>
      <c r="G69">
        <f ca="1">IF(AND(ISNUMBER($G$208),$B$145=1),$G$208,HLOOKUP(INDIRECT(ADDRESS(2,COLUMN())),OFFSET($BN$2,0,0,ROW()-1,60),ROW()-1,FALSE))</f>
        <v>456577</v>
      </c>
      <c r="H69">
        <f ca="1">IF(AND(ISNUMBER($H$208),$B$145=1),$H$208,HLOOKUP(INDIRECT(ADDRESS(2,COLUMN())),OFFSET($BN$2,0,0,ROW()-1,60),ROW()-1,FALSE))</f>
        <v>444697</v>
      </c>
      <c r="I69">
        <f ca="1">IF(AND(ISNUMBER($I$208),$B$145=1),$I$208,HLOOKUP(INDIRECT(ADDRESS(2,COLUMN())),OFFSET($BN$2,0,0,ROW()-1,60),ROW()-1,FALSE))</f>
        <v>429910</v>
      </c>
      <c r="J69">
        <f ca="1">IF(AND(ISNUMBER($J$208),$B$145=1),$J$208,HLOOKUP(INDIRECT(ADDRESS(2,COLUMN())),OFFSET($BN$2,0,0,ROW()-1,60),ROW()-1,FALSE))</f>
        <v>410525</v>
      </c>
      <c r="K69">
        <f ca="1">IF(AND(ISNUMBER($K$208),$B$145=1),$K$208,HLOOKUP(INDIRECT(ADDRESS(2,COLUMN())),OFFSET($BN$2,0,0,ROW()-1,60),ROW()-1,FALSE))</f>
        <v>404461</v>
      </c>
      <c r="L69">
        <f ca="1">IF(AND(ISNUMBER($L$208),$B$145=1),$L$208,HLOOKUP(INDIRECT(ADDRESS(2,COLUMN())),OFFSET($BN$2,0,0,ROW()-1,60),ROW()-1,FALSE))</f>
        <v>421702</v>
      </c>
      <c r="M69">
        <f ca="1">IF(AND(ISNUMBER($M$208),$B$145=1),$M$208,HLOOKUP(INDIRECT(ADDRESS(2,COLUMN())),OFFSET($BN$2,0,0,ROW()-1,60),ROW()-1,FALSE))</f>
        <v>382497</v>
      </c>
      <c r="N69">
        <f ca="1">IF(AND(ISNUMBER($N$208),$B$145=1),$N$208,HLOOKUP(INDIRECT(ADDRESS(2,COLUMN())),OFFSET($BN$2,0,0,ROW()-1,60),ROW()-1,FALSE))</f>
        <v>331209</v>
      </c>
      <c r="O69">
        <f ca="1">IF(AND(ISNUMBER($O$208),$B$145=1),$O$208,HLOOKUP(INDIRECT(ADDRESS(2,COLUMN())),OFFSET($BN$2,0,0,ROW()-1,60),ROW()-1,FALSE))</f>
        <v>352418</v>
      </c>
      <c r="P69">
        <f ca="1">IF(AND(ISNUMBER($P$208),$B$145=1),$P$208,HLOOKUP(INDIRECT(ADDRESS(2,COLUMN())),OFFSET($BN$2,0,0,ROW()-1,60),ROW()-1,FALSE))</f>
        <v>336397</v>
      </c>
      <c r="Q69">
        <f ca="1">IF(AND(ISNUMBER($Q$208),$B$145=1),$Q$208,HLOOKUP(INDIRECT(ADDRESS(2,COLUMN())),OFFSET($BN$2,0,0,ROW()-1,60),ROW()-1,FALSE))</f>
        <v>354132</v>
      </c>
      <c r="R69">
        <f ca="1">IF(AND(ISNUMBER($R$208),$B$145=1),$R$208,HLOOKUP(INDIRECT(ADDRESS(2,COLUMN())),OFFSET($BN$2,0,0,ROW()-1,60),ROW()-1,FALSE))</f>
        <v>329257</v>
      </c>
      <c r="S69">
        <f ca="1">IF(AND(ISNUMBER($S$208),$B$145=1),$S$208,HLOOKUP(INDIRECT(ADDRESS(2,COLUMN())),OFFSET($BN$2,0,0,ROW()-1,60),ROW()-1,FALSE))</f>
        <v>340462</v>
      </c>
      <c r="T69">
        <f ca="1">IF(AND(ISNUMBER($T$208),$B$145=1),$T$208,HLOOKUP(INDIRECT(ADDRESS(2,COLUMN())),OFFSET($BN$2,0,0,ROW()-1,60),ROW()-1,FALSE))</f>
        <v>368730</v>
      </c>
      <c r="U69">
        <f ca="1">IF(AND(ISNUMBER($U$208),$B$145=1),$U$208,HLOOKUP(INDIRECT(ADDRESS(2,COLUMN())),OFFSET($BN$2,0,0,ROW()-1,60),ROW()-1,FALSE))</f>
        <v>357771</v>
      </c>
      <c r="V69">
        <f ca="1">IF(AND(ISNUMBER($V$208),$B$145=1),$V$208,HLOOKUP(INDIRECT(ADDRESS(2,COLUMN())),OFFSET($BN$2,0,0,ROW()-1,60),ROW()-1,FALSE))</f>
        <v>371872</v>
      </c>
      <c r="W69">
        <f ca="1">IF(AND(ISNUMBER($W$208),$B$145=1),$W$208,HLOOKUP(INDIRECT(ADDRESS(2,COLUMN())),OFFSET($BN$2,0,0,ROW()-1,60),ROW()-1,FALSE))</f>
        <v>345971</v>
      </c>
      <c r="X69">
        <f ca="1">IF(AND(ISNUMBER($X$208),$B$145=1),$X$208,HLOOKUP(INDIRECT(ADDRESS(2,COLUMN())),OFFSET($BN$2,0,0,ROW()-1,60),ROW()-1,FALSE))</f>
        <v>359301</v>
      </c>
      <c r="Y69">
        <f ca="1">IF(AND(ISNUMBER($Y$208),$B$145=1),$Y$208,HLOOKUP(INDIRECT(ADDRESS(2,COLUMN())),OFFSET($BN$2,0,0,ROW()-1,60),ROW()-1,FALSE))</f>
        <v>360831</v>
      </c>
      <c r="Z69">
        <f ca="1">IF(AND(ISNUMBER($Z$208),$B$145=1),$Z$208,HLOOKUP(INDIRECT(ADDRESS(2,COLUMN())),OFFSET($BN$2,0,0,ROW()-1,60),ROW()-1,FALSE))</f>
        <v>274638</v>
      </c>
      <c r="AA69">
        <f ca="1">IF(AND(ISNUMBER($AA$208),$B$145=1),$AA$208,HLOOKUP(INDIRECT(ADDRESS(2,COLUMN())),OFFSET($BN$2,0,0,ROW()-1,60),ROW()-1,FALSE))</f>
        <v>305078</v>
      </c>
      <c r="AB69">
        <f ca="1">IF(AND(ISNUMBER($AB$208),$B$145=1),$AB$208,HLOOKUP(INDIRECT(ADDRESS(2,COLUMN())),OFFSET($BN$2,0,0,ROW()-1,60),ROW()-1,FALSE))</f>
        <v>305612</v>
      </c>
      <c r="AC69">
        <f ca="1">IF(AND(ISNUMBER($AC$208),$B$145=1),$AC$208,HLOOKUP(INDIRECT(ADDRESS(2,COLUMN())),OFFSET($BN$2,0,0,ROW()-1,60),ROW()-1,FALSE))</f>
        <v>285372</v>
      </c>
      <c r="AD69">
        <f ca="1">IF(AND(ISNUMBER($AD$208),$B$145=1),$AD$208,HLOOKUP(INDIRECT(ADDRESS(2,COLUMN())),OFFSET($BN$2,0,0,ROW()-1,60),ROW()-1,FALSE))</f>
        <v>254760</v>
      </c>
      <c r="AE69">
        <f ca="1">IF(AND(ISNUMBER($AE$208),$B$145=1),$AE$208,HLOOKUP(INDIRECT(ADDRESS(2,COLUMN())),OFFSET($BN$2,0,0,ROW()-1,60),ROW()-1,FALSE))</f>
        <v>256065</v>
      </c>
      <c r="AF69">
        <f ca="1">IF(AND(ISNUMBER($AF$208),$B$145=1),$AF$208,HLOOKUP(INDIRECT(ADDRESS(2,COLUMN())),OFFSET($BN$2,0,0,ROW()-1,60),ROW()-1,FALSE))</f>
        <v>261232</v>
      </c>
      <c r="AG69">
        <f ca="1">IF(AND(ISNUMBER($AG$208),$B$145=1),$AG$208,HLOOKUP(INDIRECT(ADDRESS(2,COLUMN())),OFFSET($BN$2,0,0,ROW()-1,60),ROW()-1,FALSE))</f>
        <v>267678</v>
      </c>
      <c r="AH69">
        <f ca="1">IF(AND(ISNUMBER($AH$208),$B$145=1),$AH$208,HLOOKUP(INDIRECT(ADDRESS(2,COLUMN())),OFFSET($BN$2,0,0,ROW()-1,60),ROW()-1,FALSE))</f>
        <v>251554</v>
      </c>
      <c r="AI69">
        <f ca="1">IF(AND(ISNUMBER($AI$208),$B$145=1),$AI$208,HLOOKUP(INDIRECT(ADDRESS(2,COLUMN())),OFFSET($BN$2,0,0,ROW()-1,60),ROW()-1,FALSE))</f>
        <v>258905</v>
      </c>
      <c r="AJ69">
        <f ca="1">IF(AND(ISNUMBER($AJ$208),$B$145=1),$AJ$208,HLOOKUP(INDIRECT(ADDRESS(2,COLUMN())),OFFSET($BN$2,0,0,ROW()-1,60),ROW()-1,FALSE))</f>
        <v>259606</v>
      </c>
      <c r="AK69">
        <f ca="1">IF(AND(ISNUMBER($AK$208),$B$145=1),$AK$208,HLOOKUP(INDIRECT(ADDRESS(2,COLUMN())),OFFSET($BN$2,0,0,ROW()-1,60),ROW()-1,FALSE))</f>
        <v>244903</v>
      </c>
      <c r="AL69">
        <f ca="1">IF(AND(ISNUMBER($AL$208),$B$145=1),$AL$208,HLOOKUP(INDIRECT(ADDRESS(2,COLUMN())),OFFSET($BN$2,0,0,ROW()-1,60),ROW()-1,FALSE))</f>
        <v>243925</v>
      </c>
      <c r="AM69">
        <f ca="1">IF(AND(ISNUMBER($AM$208),$B$145=1),$AM$208,HLOOKUP(INDIRECT(ADDRESS(2,COLUMN())),OFFSET($BN$2,0,0,ROW()-1,60),ROW()-1,FALSE))</f>
        <v>263352</v>
      </c>
      <c r="AN69">
        <f ca="1">IF(AND(ISNUMBER($AN$208),$B$145=1),$AN$208,HLOOKUP(INDIRECT(ADDRESS(2,COLUMN())),OFFSET($BN$2,0,0,ROW()-1,60),ROW()-1,FALSE))</f>
        <v>271764</v>
      </c>
      <c r="AO69">
        <f ca="1">IF(AND(ISNUMBER($AO$208),$B$145=1),$AO$208,HLOOKUP(INDIRECT(ADDRESS(2,COLUMN())),OFFSET($BN$2,0,0,ROW()-1,60),ROW()-1,FALSE))</f>
        <v>273747</v>
      </c>
      <c r="AP69">
        <f ca="1">IF(AND(ISNUMBER($AP$208),$B$145=1),$AP$208,HLOOKUP(INDIRECT(ADDRESS(2,COLUMN())),OFFSET($BN$2,0,0,ROW()-1,60),ROW()-1,FALSE))</f>
        <v>249956</v>
      </c>
      <c r="AQ69">
        <f ca="1">IF(AND(ISNUMBER($AQ$208),$B$145=1),$AQ$208,HLOOKUP(INDIRECT(ADDRESS(2,COLUMN())),OFFSET($BN$2,0,0,ROW()-1,60),ROW()-1,FALSE))</f>
        <v>266946</v>
      </c>
      <c r="AR69">
        <f ca="1">IF(AND(ISNUMBER($AR$208),$B$145=1),$AR$208,HLOOKUP(INDIRECT(ADDRESS(2,COLUMN())),OFFSET($BN$2,0,0,ROW()-1,60),ROW()-1,FALSE))</f>
        <v>279196</v>
      </c>
      <c r="AS69">
        <f ca="1">IF(AND(ISNUMBER($AS$208),$B$145=1),$AS$208,HLOOKUP(INDIRECT(ADDRESS(2,COLUMN())),OFFSET($BN$2,0,0,ROW()-1,60),ROW()-1,FALSE))</f>
        <v>302983</v>
      </c>
      <c r="AT69">
        <f ca="1">IF(AND(ISNUMBER($AT$208),$B$145=1),$AT$208,HLOOKUP(INDIRECT(ADDRESS(2,COLUMN())),OFFSET($BN$2,0,0,ROW()-1,60),ROW()-1,FALSE))</f>
        <v>296786</v>
      </c>
      <c r="AU69">
        <f ca="1">IF(AND(ISNUMBER($AU$208),$B$145=1),$AU$208,HLOOKUP(INDIRECT(ADDRESS(2,COLUMN())),OFFSET($BN$2,0,0,ROW()-1,60),ROW()-1,FALSE))</f>
        <v>290822</v>
      </c>
      <c r="AV69">
        <f ca="1">IF(AND(ISNUMBER($AV$208),$B$145=1),$AV$208,HLOOKUP(INDIRECT(ADDRESS(2,COLUMN())),OFFSET($BN$2,0,0,ROW()-1,60),ROW()-1,FALSE))</f>
        <v>290776</v>
      </c>
      <c r="AW69">
        <f ca="1">IF(AND(ISNUMBER($AW$208),$B$145=1),$AW$208,HLOOKUP(INDIRECT(ADDRESS(2,COLUMN())),OFFSET($BN$2,0,0,ROW()-1,60),ROW()-1,FALSE))</f>
        <v>278180</v>
      </c>
      <c r="AX69">
        <f ca="1">IF(AND(ISNUMBER($AX$208),$B$145=1),$AX$208,HLOOKUP(INDIRECT(ADDRESS(2,COLUMN())),OFFSET($BN$2,0,0,ROW()-1,60),ROW()-1,FALSE))</f>
        <v>285928</v>
      </c>
      <c r="AY69">
        <f ca="1">IF(AND(ISNUMBER($AY$208),$B$145=1),$AY$208,HLOOKUP(INDIRECT(ADDRESS(2,COLUMN())),OFFSET($BN$2,0,0,ROW()-1,60),ROW()-1,FALSE))</f>
        <v>291722</v>
      </c>
      <c r="AZ69">
        <f ca="1">IF(AND(ISNUMBER($AZ$208),$B$145=1),$AZ$208,HLOOKUP(INDIRECT(ADDRESS(2,COLUMN())),OFFSET($BN$2,0,0,ROW()-1,60),ROW()-1,FALSE))</f>
        <v>306570</v>
      </c>
      <c r="BA69">
        <f ca="1">IF(AND(ISNUMBER($BA$208),$B$145=1),$BA$208,HLOOKUP(INDIRECT(ADDRESS(2,COLUMN())),OFFSET($BN$2,0,0,ROW()-1,60),ROW()-1,FALSE))</f>
        <v>308321</v>
      </c>
      <c r="BB69">
        <f ca="1">IF(AND(ISNUMBER($BB$208),$B$145=1),$BB$208,HLOOKUP(INDIRECT(ADDRESS(2,COLUMN())),OFFSET($BN$2,0,0,ROW()-1,60),ROW()-1,FALSE))</f>
        <v>320929</v>
      </c>
      <c r="BC69">
        <f ca="1">IF(AND(ISNUMBER($BC$208),$B$145=1),$BC$208,HLOOKUP(INDIRECT(ADDRESS(2,COLUMN())),OFFSET($BN$2,0,0,ROW()-1,60),ROW()-1,FALSE))</f>
        <v>315201</v>
      </c>
      <c r="BD69">
        <f ca="1">IF(AND(ISNUMBER($BD$208),$B$145=1),$BD$208,HLOOKUP(INDIRECT(ADDRESS(2,COLUMN())),OFFSET($BN$2,0,0,ROW()-1,60),ROW()-1,FALSE))</f>
        <v>310246</v>
      </c>
      <c r="BE69">
        <f ca="1">IF(AND(ISNUMBER($BE$208),$B$145=1),$BE$208,HLOOKUP(INDIRECT(ADDRESS(2,COLUMN())),OFFSET($BN$2,0,0,ROW()-1,60),ROW()-1,FALSE))</f>
        <v>307050</v>
      </c>
      <c r="BF69">
        <f ca="1">IF(AND(ISNUMBER($BF$208),$B$145=1),$BF$208,HLOOKUP(INDIRECT(ADDRESS(2,COLUMN())),OFFSET($BN$2,0,0,ROW()-1,60),ROW()-1,FALSE))</f>
        <v>291734</v>
      </c>
      <c r="BG69">
        <f ca="1">IF(AND(ISNUMBER($BG$208),$B$145=1),$BG$208,HLOOKUP(INDIRECT(ADDRESS(2,COLUMN())),OFFSET($BN$2,0,0,ROW()-1,60),ROW()-1,FALSE))</f>
        <v>338063</v>
      </c>
      <c r="BH69">
        <f ca="1">IF(AND(ISNUMBER($BH$208),$B$145=1),$BH$208,HLOOKUP(INDIRECT(ADDRESS(2,COLUMN())),OFFSET($BN$2,0,0,ROW()-1,60),ROW()-1,FALSE))</f>
        <v>329011</v>
      </c>
      <c r="BI69">
        <f ca="1">IF(AND(ISNUMBER($BI$208),$B$145=1),$BI$208,HLOOKUP(INDIRECT(ADDRESS(2,COLUMN())),OFFSET($BN$2,0,0,ROW()-1,60),ROW()-1,FALSE))</f>
        <v>329368</v>
      </c>
      <c r="BJ69">
        <f ca="1">IF(AND(ISNUMBER($BJ$208),$B$145=1),$BJ$208,HLOOKUP(INDIRECT(ADDRESS(2,COLUMN())),OFFSET($BN$2,0,0,ROW()-1,60),ROW()-1,FALSE))</f>
        <v>324797</v>
      </c>
      <c r="BK69">
        <f ca="1">IF(AND(ISNUMBER($BK$208),$B$145=1),$BK$208,HLOOKUP(INDIRECT(ADDRESS(2,COLUMN())),OFFSET($BN$2,0,0,ROW()-1,60),ROW()-1,FALSE))</f>
        <v>349015</v>
      </c>
      <c r="BL69">
        <f ca="1">IF(AND(ISNUMBER($BL$208),$B$145=1),$BL$208,HLOOKUP(INDIRECT(ADDRESS(2,COLUMN())),OFFSET($BN$2,0,0,ROW()-1,60),ROW()-1,FALSE))</f>
        <v>309441</v>
      </c>
      <c r="BM69" t="str">
        <f ca="1">IF(AND(ISNUMBER($BM$208),$B$145=1),$BM$208,HLOOKUP(INDIRECT(ADDRESS(2,COLUMN())),OFFSET($BN$2,0,0,ROW()-1,60),ROW()-1,FALSE))</f>
        <v/>
      </c>
      <c r="BN69">
        <f>439883</f>
        <v>439883</v>
      </c>
      <c r="BO69">
        <f>456577</f>
        <v>456577</v>
      </c>
      <c r="BP69">
        <f>444697</f>
        <v>444697</v>
      </c>
      <c r="BQ69">
        <f>429910</f>
        <v>429910</v>
      </c>
      <c r="BR69">
        <f>410525</f>
        <v>410525</v>
      </c>
      <c r="BS69">
        <f>404461</f>
        <v>404461</v>
      </c>
      <c r="BT69">
        <f>421702</f>
        <v>421702</v>
      </c>
      <c r="BU69">
        <f>382497</f>
        <v>382497</v>
      </c>
      <c r="BV69">
        <f>331209</f>
        <v>331209</v>
      </c>
      <c r="BW69">
        <f>352418</f>
        <v>352418</v>
      </c>
      <c r="BX69">
        <f>336397</f>
        <v>336397</v>
      </c>
      <c r="BY69">
        <f>354132</f>
        <v>354132</v>
      </c>
      <c r="BZ69">
        <f>329257</f>
        <v>329257</v>
      </c>
      <c r="CA69">
        <f>340462</f>
        <v>340462</v>
      </c>
      <c r="CB69">
        <f>368730</f>
        <v>368730</v>
      </c>
      <c r="CC69">
        <f>357771</f>
        <v>357771</v>
      </c>
      <c r="CD69">
        <f>371872</f>
        <v>371872</v>
      </c>
      <c r="CE69">
        <f>345971</f>
        <v>345971</v>
      </c>
      <c r="CF69">
        <f>359301</f>
        <v>359301</v>
      </c>
      <c r="CG69">
        <f>360831</f>
        <v>360831</v>
      </c>
      <c r="CH69">
        <f>274638</f>
        <v>274638</v>
      </c>
      <c r="CI69">
        <f>305078</f>
        <v>305078</v>
      </c>
      <c r="CJ69">
        <f>305612</f>
        <v>305612</v>
      </c>
      <c r="CK69">
        <f>285372</f>
        <v>285372</v>
      </c>
      <c r="CL69">
        <f>254760</f>
        <v>254760</v>
      </c>
      <c r="CM69">
        <f>256065</f>
        <v>256065</v>
      </c>
      <c r="CN69">
        <f>261232</f>
        <v>261232</v>
      </c>
      <c r="CO69">
        <f>267678</f>
        <v>267678</v>
      </c>
      <c r="CP69">
        <f>251554</f>
        <v>251554</v>
      </c>
      <c r="CQ69">
        <f>258905</f>
        <v>258905</v>
      </c>
      <c r="CR69">
        <f>259606</f>
        <v>259606</v>
      </c>
      <c r="CS69">
        <f>244903</f>
        <v>244903</v>
      </c>
      <c r="CT69">
        <f>243925</f>
        <v>243925</v>
      </c>
      <c r="CU69">
        <f>263352</f>
        <v>263352</v>
      </c>
      <c r="CV69">
        <f>271764</f>
        <v>271764</v>
      </c>
      <c r="CW69">
        <f>273747</f>
        <v>273747</v>
      </c>
      <c r="CX69">
        <f>249956</f>
        <v>249956</v>
      </c>
      <c r="CY69">
        <f>266946</f>
        <v>266946</v>
      </c>
      <c r="CZ69">
        <f>279196</f>
        <v>279196</v>
      </c>
      <c r="DA69">
        <f>302983</f>
        <v>302983</v>
      </c>
      <c r="DB69">
        <f>296786</f>
        <v>296786</v>
      </c>
      <c r="DC69">
        <f>290822</f>
        <v>290822</v>
      </c>
      <c r="DD69">
        <f>290776</f>
        <v>290776</v>
      </c>
      <c r="DE69">
        <f>278180</f>
        <v>278180</v>
      </c>
      <c r="DF69">
        <f>285928</f>
        <v>285928</v>
      </c>
      <c r="DG69">
        <f>291722</f>
        <v>291722</v>
      </c>
      <c r="DH69">
        <f>306570</f>
        <v>306570</v>
      </c>
      <c r="DI69">
        <f>308321</f>
        <v>308321</v>
      </c>
      <c r="DJ69">
        <f>320929</f>
        <v>320929</v>
      </c>
      <c r="DK69">
        <f>315201</f>
        <v>315201</v>
      </c>
      <c r="DL69">
        <f>310246</f>
        <v>310246</v>
      </c>
      <c r="DM69">
        <f>307050</f>
        <v>307050</v>
      </c>
      <c r="DN69">
        <f>291734</f>
        <v>291734</v>
      </c>
      <c r="DO69">
        <f>338063</f>
        <v>338063</v>
      </c>
      <c r="DP69">
        <f>329011</f>
        <v>329011</v>
      </c>
      <c r="DQ69">
        <f>329368</f>
        <v>329368</v>
      </c>
      <c r="DR69">
        <f>324797</f>
        <v>324797</v>
      </c>
      <c r="DS69">
        <f>349015</f>
        <v>349015</v>
      </c>
      <c r="DT69">
        <f>309441</f>
        <v>309441</v>
      </c>
      <c r="DU69" t="str">
        <f>""</f>
        <v/>
      </c>
    </row>
    <row r="70" spans="1:125" x14ac:dyDescent="0.25">
      <c r="A70" t="str">
        <f>"            Citizens Financial Group Inc"</f>
        <v xml:space="preserve">            Citizens Financial Group Inc</v>
      </c>
      <c r="B70" t="str">
        <f>"CFG US Equity"</f>
        <v>CFG US Equity</v>
      </c>
      <c r="C70" t="str">
        <f t="shared" si="9"/>
        <v>FC070</v>
      </c>
      <c r="D70" t="str">
        <f t="shared" si="10"/>
        <v>FDIC_TRADING_ACCT_ASSETS</v>
      </c>
      <c r="E70" t="str">
        <f t="shared" si="11"/>
        <v>Dynamic</v>
      </c>
      <c r="F70">
        <f ca="1">IF(AND(ISNUMBER($F$209),$B$145=1),$F$209,HLOOKUP(INDIRECT(ADDRESS(2,COLUMN())),OFFSET($BN$2,0,0,ROW()-1,60),ROW()-1,FALSE))</f>
        <v>630.67200000000003</v>
      </c>
      <c r="G70">
        <f ca="1">IF(AND(ISNUMBER($G$209),$B$145=1),$G$209,HLOOKUP(INDIRECT(ADDRESS(2,COLUMN())),OFFSET($BN$2,0,0,ROW()-1,60),ROW()-1,FALSE))</f>
        <v>654.52599999999995</v>
      </c>
      <c r="H70">
        <f ca="1">IF(AND(ISNUMBER($H$209),$B$145=1),$H$209,HLOOKUP(INDIRECT(ADDRESS(2,COLUMN())),OFFSET($BN$2,0,0,ROW()-1,60),ROW()-1,FALSE))</f>
        <v>463.62700000000001</v>
      </c>
      <c r="I70">
        <f ca="1">IF(AND(ISNUMBER($I$209),$B$145=1),$I$209,HLOOKUP(INDIRECT(ADDRESS(2,COLUMN())),OFFSET($BN$2,0,0,ROW()-1,60),ROW()-1,FALSE))</f>
        <v>431.56299999999999</v>
      </c>
      <c r="J70">
        <f ca="1">IF(AND(ISNUMBER($J$209),$B$145=1),$J$209,HLOOKUP(INDIRECT(ADDRESS(2,COLUMN())),OFFSET($BN$2,0,0,ROW()-1,60),ROW()-1,FALSE))</f>
        <v>558.78399999999999</v>
      </c>
      <c r="K70">
        <f ca="1">IF(AND(ISNUMBER($K$209),$B$145=1),$K$209,HLOOKUP(INDIRECT(ADDRESS(2,COLUMN())),OFFSET($BN$2,0,0,ROW()-1,60),ROW()-1,FALSE))</f>
        <v>598.59199999999998</v>
      </c>
      <c r="L70">
        <f ca="1">IF(AND(ISNUMBER($L$209),$B$145=1),$L$209,HLOOKUP(INDIRECT(ADDRESS(2,COLUMN())),OFFSET($BN$2,0,0,ROW()-1,60),ROW()-1,FALSE))</f>
        <v>828.78399999999999</v>
      </c>
      <c r="M70">
        <f ca="1">IF(AND(ISNUMBER($M$209),$B$145=1),$M$209,HLOOKUP(INDIRECT(ADDRESS(2,COLUMN())),OFFSET($BN$2,0,0,ROW()-1,60),ROW()-1,FALSE))</f>
        <v>636.20000000000005</v>
      </c>
      <c r="N70">
        <f ca="1">IF(AND(ISNUMBER($N$209),$B$145=1),$N$209,HLOOKUP(INDIRECT(ADDRESS(2,COLUMN())),OFFSET($BN$2,0,0,ROW()-1,60),ROW()-1,FALSE))</f>
        <v>1008.9349999999999</v>
      </c>
      <c r="O70">
        <f ca="1">IF(AND(ISNUMBER($O$209),$B$145=1),$O$209,HLOOKUP(INDIRECT(ADDRESS(2,COLUMN())),OFFSET($BN$2,0,0,ROW()-1,60),ROW()-1,FALSE))</f>
        <v>1529.7650000000001</v>
      </c>
      <c r="P70">
        <f ca="1">IF(AND(ISNUMBER($P$209),$B$145=1),$P$209,HLOOKUP(INDIRECT(ADDRESS(2,COLUMN())),OFFSET($BN$2,0,0,ROW()-1,60),ROW()-1,FALSE))</f>
        <v>1658.1389999999999</v>
      </c>
      <c r="Q70">
        <f ca="1">IF(AND(ISNUMBER($Q$209),$B$145=1),$Q$209,HLOOKUP(INDIRECT(ADDRESS(2,COLUMN())),OFFSET($BN$2,0,0,ROW()-1,60),ROW()-1,FALSE))</f>
        <v>1925.204</v>
      </c>
      <c r="R70">
        <f ca="1">IF(AND(ISNUMBER($R$209),$B$145=1),$R$209,HLOOKUP(INDIRECT(ADDRESS(2,COLUMN())),OFFSET($BN$2,0,0,ROW()-1,60),ROW()-1,FALSE))</f>
        <v>1409.105</v>
      </c>
      <c r="S70">
        <f ca="1">IF(AND(ISNUMBER($S$209),$B$145=1),$S$209,HLOOKUP(INDIRECT(ADDRESS(2,COLUMN())),OFFSET($BN$2,0,0,ROW()-1,60),ROW()-1,FALSE))</f>
        <v>1902.615</v>
      </c>
      <c r="T70">
        <f ca="1">IF(AND(ISNUMBER($T$209),$B$145=1),$T$209,HLOOKUP(INDIRECT(ADDRESS(2,COLUMN())),OFFSET($BN$2,0,0,ROW()-1,60),ROW()-1,FALSE))</f>
        <v>1844.222</v>
      </c>
      <c r="U70">
        <f ca="1">IF(AND(ISNUMBER($U$209),$B$145=1),$U$209,HLOOKUP(INDIRECT(ADDRESS(2,COLUMN())),OFFSET($BN$2,0,0,ROW()-1,60),ROW()-1,FALSE))</f>
        <v>1500.1420000000001</v>
      </c>
      <c r="V70">
        <f ca="1">IF(AND(ISNUMBER($V$209),$B$145=1),$V$209,HLOOKUP(INDIRECT(ADDRESS(2,COLUMN())),OFFSET($BN$2,0,0,ROW()-1,60),ROW()-1,FALSE))</f>
        <v>1983.847</v>
      </c>
      <c r="W70">
        <f ca="1">IF(AND(ISNUMBER($W$209),$B$145=1),$W$209,HLOOKUP(INDIRECT(ADDRESS(2,COLUMN())),OFFSET($BN$2,0,0,ROW()-1,60),ROW()-1,FALSE))</f>
        <v>2126.527</v>
      </c>
      <c r="X70">
        <f ca="1">IF(AND(ISNUMBER($X$209),$B$145=1),$X$209,HLOOKUP(INDIRECT(ADDRESS(2,COLUMN())),OFFSET($BN$2,0,0,ROW()-1,60),ROW()-1,FALSE))</f>
        <v>2278.3879999999999</v>
      </c>
      <c r="Y70">
        <f ca="1">IF(AND(ISNUMBER($Y$209),$B$145=1),$Y$209,HLOOKUP(INDIRECT(ADDRESS(2,COLUMN())),OFFSET($BN$2,0,0,ROW()-1,60),ROW()-1,FALSE))</f>
        <v>2078.8130000000001</v>
      </c>
      <c r="Z70">
        <f ca="1">IF(AND(ISNUMBER($Z$209),$B$145=1),$Z$209,HLOOKUP(INDIRECT(ADDRESS(2,COLUMN())),OFFSET($BN$2,0,0,ROW()-1,60),ROW()-1,FALSE))</f>
        <v>969.79200000000003</v>
      </c>
      <c r="AA70">
        <f ca="1">IF(AND(ISNUMBER($AA$209),$B$145=1),$AA$209,HLOOKUP(INDIRECT(ADDRESS(2,COLUMN())),OFFSET($BN$2,0,0,ROW()-1,60),ROW()-1,FALSE))</f>
        <v>1170.1990000000001</v>
      </c>
      <c r="AB70">
        <f ca="1">IF(AND(ISNUMBER($AB$209),$B$145=1),$AB$209,HLOOKUP(INDIRECT(ADDRESS(2,COLUMN())),OFFSET($BN$2,0,0,ROW()-1,60),ROW()-1,FALSE))</f>
        <v>941.08100000000002</v>
      </c>
      <c r="AC70">
        <f ca="1">IF(AND(ISNUMBER($AC$209),$B$145=1),$AC$209,HLOOKUP(INDIRECT(ADDRESS(2,COLUMN())),OFFSET($BN$2,0,0,ROW()-1,60),ROW()-1,FALSE))</f>
        <v>626.99800000000005</v>
      </c>
      <c r="AD70">
        <f ca="1">IF(AND(ISNUMBER($AD$209),$B$145=1),$AD$209,HLOOKUP(INDIRECT(ADDRESS(2,COLUMN())),OFFSET($BN$2,0,0,ROW()-1,60),ROW()-1,FALSE))</f>
        <v>544.75199999999995</v>
      </c>
      <c r="AE70">
        <f ca="1">IF(AND(ISNUMBER($AE$209),$B$145=1),$AE$209,HLOOKUP(INDIRECT(ADDRESS(2,COLUMN())),OFFSET($BN$2,0,0,ROW()-1,60),ROW()-1,FALSE))</f>
        <v>310.84199999999998</v>
      </c>
      <c r="AF70">
        <f ca="1">IF(AND(ISNUMBER($AF$209),$B$145=1),$AF$209,HLOOKUP(INDIRECT(ADDRESS(2,COLUMN())),OFFSET($BN$2,0,0,ROW()-1,60),ROW()-1,FALSE))</f>
        <v>373.13299999999998</v>
      </c>
      <c r="AG70">
        <f ca="1">IF(AND(ISNUMBER($AG$209),$B$145=1),$AG$209,HLOOKUP(INDIRECT(ADDRESS(2,COLUMN())),OFFSET($BN$2,0,0,ROW()-1,60),ROW()-1,FALSE))</f>
        <v>455.18599999999998</v>
      </c>
      <c r="AH70">
        <f ca="1">IF(AND(ISNUMBER($AH$209),$B$145=1),$AH$209,HLOOKUP(INDIRECT(ADDRESS(2,COLUMN())),OFFSET($BN$2,0,0,ROW()-1,60),ROW()-1,FALSE))</f>
        <v>781.58399999999995</v>
      </c>
      <c r="AI70">
        <f ca="1">IF(AND(ISNUMBER($AI$209),$B$145=1),$AI$209,HLOOKUP(INDIRECT(ADDRESS(2,COLUMN())),OFFSET($BN$2,0,0,ROW()-1,60),ROW()-1,FALSE))</f>
        <v>732.803</v>
      </c>
      <c r="AJ70">
        <f ca="1">IF(AND(ISNUMBER($AJ$209),$B$145=1),$AJ$209,HLOOKUP(INDIRECT(ADDRESS(2,COLUMN())),OFFSET($BN$2,0,0,ROW()-1,60),ROW()-1,FALSE))</f>
        <v>529.94200000000001</v>
      </c>
      <c r="AK70">
        <f ca="1">IF(AND(ISNUMBER($AK$209),$B$145=1),$AK$209,HLOOKUP(INDIRECT(ADDRESS(2,COLUMN())),OFFSET($BN$2,0,0,ROW()-1,60),ROW()-1,FALSE))</f>
        <v>428.13099999999997</v>
      </c>
      <c r="AL70">
        <f ca="1">IF(AND(ISNUMBER($AL$209),$B$145=1),$AL$209,HLOOKUP(INDIRECT(ADDRESS(2,COLUMN())),OFFSET($BN$2,0,0,ROW()-1,60),ROW()-1,FALSE))</f>
        <v>641.02200000000005</v>
      </c>
      <c r="AM70">
        <f ca="1">IF(AND(ISNUMBER($AM$209),$B$145=1),$AM$209,HLOOKUP(INDIRECT(ADDRESS(2,COLUMN())),OFFSET($BN$2,0,0,ROW()-1,60),ROW()-1,FALSE))</f>
        <v>814.08900000000006</v>
      </c>
      <c r="AN70">
        <f ca="1">IF(AND(ISNUMBER($AN$209),$B$145=1),$AN$209,HLOOKUP(INDIRECT(ADDRESS(2,COLUMN())),OFFSET($BN$2,0,0,ROW()-1,60),ROW()-1,FALSE))</f>
        <v>937.86400000000003</v>
      </c>
      <c r="AO70">
        <f ca="1">IF(AND(ISNUMBER($AO$209),$B$145=1),$AO$209,HLOOKUP(INDIRECT(ADDRESS(2,COLUMN())),OFFSET($BN$2,0,0,ROW()-1,60),ROW()-1,FALSE))</f>
        <v>850.82899999999995</v>
      </c>
      <c r="AP70">
        <f ca="1">IF(AND(ISNUMBER($AP$209),$B$145=1),$AP$209,HLOOKUP(INDIRECT(ADDRESS(2,COLUMN())),OFFSET($BN$2,0,0,ROW()-1,60),ROW()-1,FALSE))</f>
        <v>607.36699999999996</v>
      </c>
      <c r="AQ70">
        <f ca="1">IF(AND(ISNUMBER($AQ$209),$B$145=1),$AQ$209,HLOOKUP(INDIRECT(ADDRESS(2,COLUMN())),OFFSET($BN$2,0,0,ROW()-1,60),ROW()-1,FALSE))</f>
        <v>791.81700000000001</v>
      </c>
      <c r="AR70">
        <f ca="1">IF(AND(ISNUMBER($AR$209),$B$145=1),$AR$209,HLOOKUP(INDIRECT(ADDRESS(2,COLUMN())),OFFSET($BN$2,0,0,ROW()-1,60),ROW()-1,FALSE))</f>
        <v>660.91399999999999</v>
      </c>
      <c r="AS70">
        <f ca="1">IF(AND(ISNUMBER($AS$209),$B$145=1),$AS$209,HLOOKUP(INDIRECT(ADDRESS(2,COLUMN())),OFFSET($BN$2,0,0,ROW()-1,60),ROW()-1,FALSE))</f>
        <v>773.94299999999998</v>
      </c>
      <c r="AT70">
        <f ca="1">IF(AND(ISNUMBER($AT$209),$B$145=1),$AT$209,HLOOKUP(INDIRECT(ADDRESS(2,COLUMN())),OFFSET($BN$2,0,0,ROW()-1,60),ROW()-1,FALSE))</f>
        <v>663.95899999999995</v>
      </c>
      <c r="AU70">
        <f ca="1">IF(AND(ISNUMBER($AU$209),$B$145=1),$AU$209,HLOOKUP(INDIRECT(ADDRESS(2,COLUMN())),OFFSET($BN$2,0,0,ROW()-1,60),ROW()-1,FALSE))</f>
        <v>557.72199999999998</v>
      </c>
      <c r="AV70">
        <f ca="1">IF(AND(ISNUMBER($AV$209),$B$145=1),$AV$209,HLOOKUP(INDIRECT(ADDRESS(2,COLUMN())),OFFSET($BN$2,0,0,ROW()-1,60),ROW()-1,FALSE))</f>
        <v>627.36800000000005</v>
      </c>
      <c r="AW70">
        <f ca="1">IF(AND(ISNUMBER($AW$209),$B$145=1),$AW$209,HLOOKUP(INDIRECT(ADDRESS(2,COLUMN())),OFFSET($BN$2,0,0,ROW()-1,60),ROW()-1,FALSE))</f>
        <v>620.85900000000004</v>
      </c>
      <c r="AX70">
        <f ca="1">IF(AND(ISNUMBER($AX$209),$B$145=1),$AX$209,HLOOKUP(INDIRECT(ADDRESS(2,COLUMN())),OFFSET($BN$2,0,0,ROW()-1,60),ROW()-1,FALSE))</f>
        <v>643.03499999999997</v>
      </c>
      <c r="AY70">
        <f ca="1">IF(AND(ISNUMBER($AY$209),$B$145=1),$AY$209,HLOOKUP(INDIRECT(ADDRESS(2,COLUMN())),OFFSET($BN$2,0,0,ROW()-1,60),ROW()-1,FALSE))</f>
        <v>731.19299999999998</v>
      </c>
      <c r="AZ70">
        <f ca="1">IF(AND(ISNUMBER($AZ$209),$B$145=1),$AZ$209,HLOOKUP(INDIRECT(ADDRESS(2,COLUMN())),OFFSET($BN$2,0,0,ROW()-1,60),ROW()-1,FALSE))</f>
        <v>759.94299999999998</v>
      </c>
      <c r="BA70">
        <f ca="1">IF(AND(ISNUMBER($BA$209),$B$145=1),$BA$209,HLOOKUP(INDIRECT(ADDRESS(2,COLUMN())),OFFSET($BN$2,0,0,ROW()-1,60),ROW()-1,FALSE))</f>
        <v>997.90800000000002</v>
      </c>
      <c r="BB70">
        <f ca="1">IF(AND(ISNUMBER($BB$209),$B$145=1),$BB$209,HLOOKUP(INDIRECT(ADDRESS(2,COLUMN())),OFFSET($BN$2,0,0,ROW()-1,60),ROW()-1,FALSE))</f>
        <v>1120.0329999999999</v>
      </c>
      <c r="BC70">
        <f ca="1">IF(AND(ISNUMBER($BC$209),$B$145=1),$BC$209,HLOOKUP(INDIRECT(ADDRESS(2,COLUMN())),OFFSET($BN$2,0,0,ROW()-1,60),ROW()-1,FALSE))</f>
        <v>1219.9570000000001</v>
      </c>
      <c r="BD70">
        <f ca="1">IF(AND(ISNUMBER($BD$209),$B$145=1),$BD$209,HLOOKUP(INDIRECT(ADDRESS(2,COLUMN())),OFFSET($BN$2,0,0,ROW()-1,60),ROW()-1,FALSE))</f>
        <v>1234.3689999999999</v>
      </c>
      <c r="BE70">
        <f ca="1">IF(AND(ISNUMBER($BE$209),$B$145=1),$BE$209,HLOOKUP(INDIRECT(ADDRESS(2,COLUMN())),OFFSET($BN$2,0,0,ROW()-1,60),ROW()-1,FALSE))</f>
        <v>1160.173</v>
      </c>
      <c r="BF70">
        <f ca="1">IF(AND(ISNUMBER($BF$209),$B$145=1),$BF$209,HLOOKUP(INDIRECT(ADDRESS(2,COLUMN())),OFFSET($BN$2,0,0,ROW()-1,60),ROW()-1,FALSE))</f>
        <v>1260.1590000000001</v>
      </c>
      <c r="BG70">
        <f ca="1">IF(AND(ISNUMBER($BG$209),$B$145=1),$BG$209,HLOOKUP(INDIRECT(ADDRESS(2,COLUMN())),OFFSET($BN$2,0,0,ROW()-1,60),ROW()-1,FALSE))</f>
        <v>1300.7639999999999</v>
      </c>
      <c r="BH70">
        <f ca="1">IF(AND(ISNUMBER($BH$209),$B$145=1),$BH$209,HLOOKUP(INDIRECT(ADDRESS(2,COLUMN())),OFFSET($BN$2,0,0,ROW()-1,60),ROW()-1,FALSE))</f>
        <v>1026.951</v>
      </c>
      <c r="BI70">
        <f ca="1">IF(AND(ISNUMBER($BI$209),$B$145=1),$BI$209,HLOOKUP(INDIRECT(ADDRESS(2,COLUMN())),OFFSET($BN$2,0,0,ROW()-1,60),ROW()-1,FALSE))</f>
        <v>947.00800000000004</v>
      </c>
      <c r="BJ70">
        <f ca="1">IF(AND(ISNUMBER($BJ$209),$B$145=1),$BJ$209,HLOOKUP(INDIRECT(ADDRESS(2,COLUMN())),OFFSET($BN$2,0,0,ROW()-1,60),ROW()-1,FALSE))</f>
        <v>1069.115</v>
      </c>
      <c r="BK70">
        <f ca="1">IF(AND(ISNUMBER($BK$209),$B$145=1),$BK$209,HLOOKUP(INDIRECT(ADDRESS(2,COLUMN())),OFFSET($BN$2,0,0,ROW()-1,60),ROW()-1,FALSE))</f>
        <v>1486.31</v>
      </c>
      <c r="BL70">
        <f ca="1">IF(AND(ISNUMBER($BL$209),$B$145=1),$BL$209,HLOOKUP(INDIRECT(ADDRESS(2,COLUMN())),OFFSET($BN$2,0,0,ROW()-1,60),ROW()-1,FALSE))</f>
        <v>1340.3440000000001</v>
      </c>
      <c r="BM70" t="str">
        <f ca="1">IF(AND(ISNUMBER($BM$209),$B$145=1),$BM$209,HLOOKUP(INDIRECT(ADDRESS(2,COLUMN())),OFFSET($BN$2,0,0,ROW()-1,60),ROW()-1,FALSE))</f>
        <v/>
      </c>
      <c r="BN70">
        <f>630.672</f>
        <v>630.67200000000003</v>
      </c>
      <c r="BO70">
        <f>654.526</f>
        <v>654.52599999999995</v>
      </c>
      <c r="BP70">
        <f>463.627</f>
        <v>463.62700000000001</v>
      </c>
      <c r="BQ70">
        <f>431.563</f>
        <v>431.56299999999999</v>
      </c>
      <c r="BR70">
        <f>558.784</f>
        <v>558.78399999999999</v>
      </c>
      <c r="BS70">
        <f>598.592</f>
        <v>598.59199999999998</v>
      </c>
      <c r="BT70">
        <f>828.784</f>
        <v>828.78399999999999</v>
      </c>
      <c r="BU70">
        <f>636.2</f>
        <v>636.20000000000005</v>
      </c>
      <c r="BV70">
        <f>1008.935</f>
        <v>1008.9349999999999</v>
      </c>
      <c r="BW70">
        <f>1529.765</f>
        <v>1529.7650000000001</v>
      </c>
      <c r="BX70">
        <f>1658.139</f>
        <v>1658.1389999999999</v>
      </c>
      <c r="BY70">
        <f>1925.204</f>
        <v>1925.204</v>
      </c>
      <c r="BZ70">
        <f>1409.105</f>
        <v>1409.105</v>
      </c>
      <c r="CA70">
        <f>1902.615</f>
        <v>1902.615</v>
      </c>
      <c r="CB70">
        <f>1844.222</f>
        <v>1844.222</v>
      </c>
      <c r="CC70">
        <f>1500.142</f>
        <v>1500.1420000000001</v>
      </c>
      <c r="CD70">
        <f>1983.847</f>
        <v>1983.847</v>
      </c>
      <c r="CE70">
        <f>2126.527</f>
        <v>2126.527</v>
      </c>
      <c r="CF70">
        <f>2278.388</f>
        <v>2278.3879999999999</v>
      </c>
      <c r="CG70">
        <f>2078.813</f>
        <v>2078.8130000000001</v>
      </c>
      <c r="CH70">
        <f>969.792</f>
        <v>969.79200000000003</v>
      </c>
      <c r="CI70">
        <f>1170.199</f>
        <v>1170.1990000000001</v>
      </c>
      <c r="CJ70">
        <f>941.081</f>
        <v>941.08100000000002</v>
      </c>
      <c r="CK70">
        <f>626.998</f>
        <v>626.99800000000005</v>
      </c>
      <c r="CL70">
        <f>544.752</f>
        <v>544.75199999999995</v>
      </c>
      <c r="CM70">
        <f>310.842</f>
        <v>310.84199999999998</v>
      </c>
      <c r="CN70">
        <f>373.133</f>
        <v>373.13299999999998</v>
      </c>
      <c r="CO70">
        <f>455.186</f>
        <v>455.18599999999998</v>
      </c>
      <c r="CP70">
        <f>781.584</f>
        <v>781.58399999999995</v>
      </c>
      <c r="CQ70">
        <f>732.803</f>
        <v>732.803</v>
      </c>
      <c r="CR70">
        <f>529.942</f>
        <v>529.94200000000001</v>
      </c>
      <c r="CS70">
        <f>428.131</f>
        <v>428.13099999999997</v>
      </c>
      <c r="CT70">
        <f>641.022</f>
        <v>641.02200000000005</v>
      </c>
      <c r="CU70">
        <f>814.089</f>
        <v>814.08900000000006</v>
      </c>
      <c r="CV70">
        <f>937.864</f>
        <v>937.86400000000003</v>
      </c>
      <c r="CW70">
        <f>850.829</f>
        <v>850.82899999999995</v>
      </c>
      <c r="CX70">
        <f>607.367</f>
        <v>607.36699999999996</v>
      </c>
      <c r="CY70">
        <f>791.817</f>
        <v>791.81700000000001</v>
      </c>
      <c r="CZ70">
        <f>660.914</f>
        <v>660.91399999999999</v>
      </c>
      <c r="DA70">
        <f>773.943</f>
        <v>773.94299999999998</v>
      </c>
      <c r="DB70">
        <f>663.959</f>
        <v>663.95899999999995</v>
      </c>
      <c r="DC70">
        <f>557.722</f>
        <v>557.72199999999998</v>
      </c>
      <c r="DD70">
        <f>627.368</f>
        <v>627.36800000000005</v>
      </c>
      <c r="DE70">
        <f>620.859</f>
        <v>620.85900000000004</v>
      </c>
      <c r="DF70">
        <f>643.035</f>
        <v>643.03499999999997</v>
      </c>
      <c r="DG70">
        <f>731.193</f>
        <v>731.19299999999998</v>
      </c>
      <c r="DH70">
        <f>759.943</f>
        <v>759.94299999999998</v>
      </c>
      <c r="DI70">
        <f>997.908</f>
        <v>997.90800000000002</v>
      </c>
      <c r="DJ70">
        <f>1120.033</f>
        <v>1120.0329999999999</v>
      </c>
      <c r="DK70">
        <f>1219.957</f>
        <v>1219.9570000000001</v>
      </c>
      <c r="DL70">
        <f>1234.369</f>
        <v>1234.3689999999999</v>
      </c>
      <c r="DM70">
        <f>1160.173</f>
        <v>1160.173</v>
      </c>
      <c r="DN70">
        <f>1260.159</f>
        <v>1260.1590000000001</v>
      </c>
      <c r="DO70">
        <f>1300.764</f>
        <v>1300.7639999999999</v>
      </c>
      <c r="DP70">
        <f>1026.951</f>
        <v>1026.951</v>
      </c>
      <c r="DQ70">
        <f>947.008</f>
        <v>947.00800000000004</v>
      </c>
      <c r="DR70">
        <f>1069.115</f>
        <v>1069.115</v>
      </c>
      <c r="DS70">
        <f>1486.31</f>
        <v>1486.31</v>
      </c>
      <c r="DT70">
        <f>1340.344</f>
        <v>1340.3440000000001</v>
      </c>
      <c r="DU70" t="str">
        <f>""</f>
        <v/>
      </c>
    </row>
    <row r="71" spans="1:125" x14ac:dyDescent="0.25">
      <c r="A71" t="str">
        <f>"            Capital One Financial Corp"</f>
        <v xml:space="preserve">            Capital One Financial Corp</v>
      </c>
      <c r="B71" t="str">
        <f>"COF US Equity"</f>
        <v>COF US Equity</v>
      </c>
      <c r="C71" t="str">
        <f t="shared" si="9"/>
        <v>FC070</v>
      </c>
      <c r="D71" t="str">
        <f t="shared" si="10"/>
        <v>FDIC_TRADING_ACCT_ASSETS</v>
      </c>
      <c r="E71" t="str">
        <f t="shared" si="11"/>
        <v>Dynamic</v>
      </c>
      <c r="F71">
        <f ca="1">IF(AND(ISNUMBER($F$210),$B$145=1),$F$210,HLOOKUP(INDIRECT(ADDRESS(2,COLUMN())),OFFSET($BN$2,0,0,ROW()-1,60),ROW()-1,FALSE))</f>
        <v>1203.1669999999999</v>
      </c>
      <c r="G71">
        <f ca="1">IF(AND(ISNUMBER($G$210),$B$145=1),$G$210,HLOOKUP(INDIRECT(ADDRESS(2,COLUMN())),OFFSET($BN$2,0,0,ROW()-1,60),ROW()-1,FALSE))</f>
        <v>1661.548</v>
      </c>
      <c r="H71">
        <f ca="1">IF(AND(ISNUMBER($H$210),$B$145=1),$H$210,HLOOKUP(INDIRECT(ADDRESS(2,COLUMN())),OFFSET($BN$2,0,0,ROW()-1,60),ROW()-1,FALSE))</f>
        <v>1371.3689999999999</v>
      </c>
      <c r="I71">
        <f ca="1">IF(AND(ISNUMBER($I$210),$B$145=1),$I$210,HLOOKUP(INDIRECT(ADDRESS(2,COLUMN())),OFFSET($BN$2,0,0,ROW()-1,60),ROW()-1,FALSE))</f>
        <v>1536.1279999999999</v>
      </c>
      <c r="J71">
        <f ca="1">IF(AND(ISNUMBER($J$210),$B$145=1),$J$210,HLOOKUP(INDIRECT(ADDRESS(2,COLUMN())),OFFSET($BN$2,0,0,ROW()-1,60),ROW()-1,FALSE))</f>
        <v>1522.2529999999999</v>
      </c>
      <c r="K71">
        <f ca="1">IF(AND(ISNUMBER($K$210),$B$145=1),$K$210,HLOOKUP(INDIRECT(ADDRESS(2,COLUMN())),OFFSET($BN$2,0,0,ROW()-1,60),ROW()-1,FALSE))</f>
        <v>1796.819</v>
      </c>
      <c r="L71">
        <f ca="1">IF(AND(ISNUMBER($L$210),$B$145=1),$L$210,HLOOKUP(INDIRECT(ADDRESS(2,COLUMN())),OFFSET($BN$2,0,0,ROW()-1,60),ROW()-1,FALSE))</f>
        <v>1581.172</v>
      </c>
      <c r="M71">
        <f ca="1">IF(AND(ISNUMBER($M$210),$B$145=1),$M$210,HLOOKUP(INDIRECT(ADDRESS(2,COLUMN())),OFFSET($BN$2,0,0,ROW()-1,60),ROW()-1,FALSE))</f>
        <v>1492.9580000000001</v>
      </c>
      <c r="N71">
        <f ca="1">IF(AND(ISNUMBER($N$210),$B$145=1),$N$210,HLOOKUP(INDIRECT(ADDRESS(2,COLUMN())),OFFSET($BN$2,0,0,ROW()-1,60),ROW()-1,FALSE))</f>
        <v>2187.788</v>
      </c>
      <c r="O71">
        <f ca="1">IF(AND(ISNUMBER($O$210),$B$145=1),$O$210,HLOOKUP(INDIRECT(ADDRESS(2,COLUMN())),OFFSET($BN$2,0,0,ROW()-1,60),ROW()-1,FALSE))</f>
        <v>3110.4989999999998</v>
      </c>
      <c r="P71">
        <f ca="1">IF(AND(ISNUMBER($P$210),$B$145=1),$P$210,HLOOKUP(INDIRECT(ADDRESS(2,COLUMN())),OFFSET($BN$2,0,0,ROW()-1,60),ROW()-1,FALSE))</f>
        <v>3139.203</v>
      </c>
      <c r="Q71">
        <f ca="1">IF(AND(ISNUMBER($Q$210),$B$145=1),$Q$210,HLOOKUP(INDIRECT(ADDRESS(2,COLUMN())),OFFSET($BN$2,0,0,ROW()-1,60),ROW()-1,FALSE))</f>
        <v>3716.951</v>
      </c>
      <c r="R71">
        <f ca="1">IF(AND(ISNUMBER($R$210),$B$145=1),$R$210,HLOOKUP(INDIRECT(ADDRESS(2,COLUMN())),OFFSET($BN$2,0,0,ROW()-1,60),ROW()-1,FALSE))</f>
        <v>2128.335</v>
      </c>
      <c r="S71">
        <f ca="1">IF(AND(ISNUMBER($S$210),$B$145=1),$S$210,HLOOKUP(INDIRECT(ADDRESS(2,COLUMN())),OFFSET($BN$2,0,0,ROW()-1,60),ROW()-1,FALSE))</f>
        <v>3801.136</v>
      </c>
      <c r="T71">
        <f ca="1">IF(AND(ISNUMBER($T$210),$B$145=1),$T$210,HLOOKUP(INDIRECT(ADDRESS(2,COLUMN())),OFFSET($BN$2,0,0,ROW()-1,60),ROW()-1,FALSE))</f>
        <v>2659.2379999999998</v>
      </c>
      <c r="U71">
        <f ca="1">IF(AND(ISNUMBER($U$210),$B$145=1),$U$210,HLOOKUP(INDIRECT(ADDRESS(2,COLUMN())),OFFSET($BN$2,0,0,ROW()-1,60),ROW()-1,FALSE))</f>
        <v>1925.6759999999999</v>
      </c>
      <c r="V71">
        <f ca="1">IF(AND(ISNUMBER($V$210),$B$145=1),$V$210,HLOOKUP(INDIRECT(ADDRESS(2,COLUMN())),OFFSET($BN$2,0,0,ROW()-1,60),ROW()-1,FALSE))</f>
        <v>2127.8000000000002</v>
      </c>
      <c r="W71">
        <f ca="1">IF(AND(ISNUMBER($W$210),$B$145=1),$W$210,HLOOKUP(INDIRECT(ADDRESS(2,COLUMN())),OFFSET($BN$2,0,0,ROW()-1,60),ROW()-1,FALSE))</f>
        <v>2317.5010000000002</v>
      </c>
      <c r="X71">
        <f ca="1">IF(AND(ISNUMBER($X$210),$B$145=1),$X$210,HLOOKUP(INDIRECT(ADDRESS(2,COLUMN())),OFFSET($BN$2,0,0,ROW()-1,60),ROW()-1,FALSE))</f>
        <v>2438.223</v>
      </c>
      <c r="Y71">
        <f ca="1">IF(AND(ISNUMBER($Y$210),$B$145=1),$Y$210,HLOOKUP(INDIRECT(ADDRESS(2,COLUMN())),OFFSET($BN$2,0,0,ROW()-1,60),ROW()-1,FALSE))</f>
        <v>2878.268</v>
      </c>
      <c r="Z71">
        <f ca="1">IF(AND(ISNUMBER($Z$210),$B$145=1),$Z$210,HLOOKUP(INDIRECT(ADDRESS(2,COLUMN())),OFFSET($BN$2,0,0,ROW()-1,60),ROW()-1,FALSE))</f>
        <v>1067.0730000000001</v>
      </c>
      <c r="AA71">
        <f ca="1">IF(AND(ISNUMBER($AA$210),$B$145=1),$AA$210,HLOOKUP(INDIRECT(ADDRESS(2,COLUMN())),OFFSET($BN$2,0,0,ROW()-1,60),ROW()-1,FALSE))</f>
        <v>1183.482</v>
      </c>
      <c r="AB71">
        <f ca="1">IF(AND(ISNUMBER($AB$210),$B$145=1),$AB$210,HLOOKUP(INDIRECT(ADDRESS(2,COLUMN())),OFFSET($BN$2,0,0,ROW()-1,60),ROW()-1,FALSE))</f>
        <v>1064.7190000000001</v>
      </c>
      <c r="AC71">
        <f ca="1">IF(AND(ISNUMBER($AC$210),$B$145=1),$AC$210,HLOOKUP(INDIRECT(ADDRESS(2,COLUMN())),OFFSET($BN$2,0,0,ROW()-1,60),ROW()-1,FALSE))</f>
        <v>792.74300000000005</v>
      </c>
      <c r="AD71">
        <f ca="1">IF(AND(ISNUMBER($AD$210),$B$145=1),$AD$210,HLOOKUP(INDIRECT(ADDRESS(2,COLUMN())),OFFSET($BN$2,0,0,ROW()-1,60),ROW()-1,FALSE))</f>
        <v>491.66800000000001</v>
      </c>
      <c r="AE71">
        <f ca="1">IF(AND(ISNUMBER($AE$210),$B$145=1),$AE$210,HLOOKUP(INDIRECT(ADDRESS(2,COLUMN())),OFFSET($BN$2,0,0,ROW()-1,60),ROW()-1,FALSE))</f>
        <v>1200.0350000000001</v>
      </c>
      <c r="AF71">
        <f ca="1">IF(AND(ISNUMBER($AF$210),$B$145=1),$AF$210,HLOOKUP(INDIRECT(ADDRESS(2,COLUMN())),OFFSET($BN$2,0,0,ROW()-1,60),ROW()-1,FALSE))</f>
        <v>1088.673</v>
      </c>
      <c r="AG71">
        <f ca="1">IF(AND(ISNUMBER($AG$210),$B$145=1),$AG$210,HLOOKUP(INDIRECT(ADDRESS(2,COLUMN())),OFFSET($BN$2,0,0,ROW()-1,60),ROW()-1,FALSE))</f>
        <v>781.96</v>
      </c>
      <c r="AH71">
        <f ca="1">IF(AND(ISNUMBER($AH$210),$B$145=1),$AH$210,HLOOKUP(INDIRECT(ADDRESS(2,COLUMN())),OFFSET($BN$2,0,0,ROW()-1,60),ROW()-1,FALSE))</f>
        <v>866.23699999999997</v>
      </c>
      <c r="AI71">
        <f ca="1">IF(AND(ISNUMBER($AI$210),$B$145=1),$AI$210,HLOOKUP(INDIRECT(ADDRESS(2,COLUMN())),OFFSET($BN$2,0,0,ROW()-1,60),ROW()-1,FALSE))</f>
        <v>659.73500000000001</v>
      </c>
      <c r="AJ71">
        <f ca="1">IF(AND(ISNUMBER($AJ$210),$B$145=1),$AJ$210,HLOOKUP(INDIRECT(ADDRESS(2,COLUMN())),OFFSET($BN$2,0,0,ROW()-1,60),ROW()-1,FALSE))</f>
        <v>574.14499999999998</v>
      </c>
      <c r="AK71">
        <f ca="1">IF(AND(ISNUMBER($AK$210),$B$145=1),$AK$210,HLOOKUP(INDIRECT(ADDRESS(2,COLUMN())),OFFSET($BN$2,0,0,ROW()-1,60),ROW()-1,FALSE))</f>
        <v>659.029</v>
      </c>
      <c r="AL71">
        <f ca="1">IF(AND(ISNUMBER($AL$210),$B$145=1),$AL$210,HLOOKUP(INDIRECT(ADDRESS(2,COLUMN())),OFFSET($BN$2,0,0,ROW()-1,60),ROW()-1,FALSE))</f>
        <v>755.851</v>
      </c>
      <c r="AM71">
        <f ca="1">IF(AND(ISNUMBER($AM$210),$B$145=1),$AM$210,HLOOKUP(INDIRECT(ADDRESS(2,COLUMN())),OFFSET($BN$2,0,0,ROW()-1,60),ROW()-1,FALSE))</f>
        <v>812.28200000000004</v>
      </c>
      <c r="AN71">
        <f ca="1">IF(AND(ISNUMBER($AN$210),$B$145=1),$AN$210,HLOOKUP(INDIRECT(ADDRESS(2,COLUMN())),OFFSET($BN$2,0,0,ROW()-1,60),ROW()-1,FALSE))</f>
        <v>898.33100000000002</v>
      </c>
      <c r="AO71">
        <f ca="1">IF(AND(ISNUMBER($AO$210),$B$145=1),$AO$210,HLOOKUP(INDIRECT(ADDRESS(2,COLUMN())),OFFSET($BN$2,0,0,ROW()-1,60),ROW()-1,FALSE))</f>
        <v>761.53399999999999</v>
      </c>
      <c r="AP71">
        <f ca="1">IF(AND(ISNUMBER($AP$210),$B$145=1),$AP$210,HLOOKUP(INDIRECT(ADDRESS(2,COLUMN())),OFFSET($BN$2,0,0,ROW()-1,60),ROW()-1,FALSE))</f>
        <v>547.55100000000004</v>
      </c>
      <c r="AQ71">
        <f ca="1">IF(AND(ISNUMBER($AQ$210),$B$145=1),$AQ$210,HLOOKUP(INDIRECT(ADDRESS(2,COLUMN())),OFFSET($BN$2,0,0,ROW()-1,60),ROW()-1,FALSE))</f>
        <v>603.75699999999995</v>
      </c>
      <c r="AR71">
        <f ca="1">IF(AND(ISNUMBER($AR$210),$B$145=1),$AR$210,HLOOKUP(INDIRECT(ADDRESS(2,COLUMN())),OFFSET($BN$2,0,0,ROW()-1,60),ROW()-1,FALSE))</f>
        <v>505.714</v>
      </c>
      <c r="AS71">
        <f ca="1">IF(AND(ISNUMBER($AS$210),$B$145=1),$AS$210,HLOOKUP(INDIRECT(ADDRESS(2,COLUMN())),OFFSET($BN$2,0,0,ROW()-1,60),ROW()-1,FALSE))</f>
        <v>666.75900000000001</v>
      </c>
      <c r="AT71">
        <f ca="1">IF(AND(ISNUMBER($AT$210),$B$145=1),$AT$210,HLOOKUP(INDIRECT(ADDRESS(2,COLUMN())),OFFSET($BN$2,0,0,ROW()-1,60),ROW()-1,FALSE))</f>
        <v>594.61800000000005</v>
      </c>
      <c r="AU71">
        <f ca="1">IF(AND(ISNUMBER($AU$210),$B$145=1),$AU$210,HLOOKUP(INDIRECT(ADDRESS(2,COLUMN())),OFFSET($BN$2,0,0,ROW()-1,60),ROW()-1,FALSE))</f>
        <v>537.02200000000005</v>
      </c>
      <c r="AV71">
        <f ca="1">IF(AND(ISNUMBER($AV$210),$B$145=1),$AV$210,HLOOKUP(INDIRECT(ADDRESS(2,COLUMN())),OFFSET($BN$2,0,0,ROW()-1,60),ROW()-1,FALSE))</f>
        <v>560.81299999999999</v>
      </c>
      <c r="AW71">
        <f ca="1">IF(AND(ISNUMBER($AW$210),$B$145=1),$AW$210,HLOOKUP(INDIRECT(ADDRESS(2,COLUMN())),OFFSET($BN$2,0,0,ROW()-1,60),ROW()-1,FALSE))</f>
        <v>557.29499999999996</v>
      </c>
      <c r="AX71">
        <f ca="1">IF(AND(ISNUMBER($AX$210),$B$145=1),$AX$210,HLOOKUP(INDIRECT(ADDRESS(2,COLUMN())),OFFSET($BN$2,0,0,ROW()-1,60),ROW()-1,FALSE))</f>
        <v>601.16</v>
      </c>
      <c r="AY71">
        <f ca="1">IF(AND(ISNUMBER($AY$210),$B$145=1),$AY$210,HLOOKUP(INDIRECT(ADDRESS(2,COLUMN())),OFFSET($BN$2,0,0,ROW()-1,60),ROW()-1,FALSE))</f>
        <v>594.53</v>
      </c>
      <c r="AZ71">
        <f ca="1">IF(AND(ISNUMBER($AZ$210),$B$145=1),$AZ$210,HLOOKUP(INDIRECT(ADDRESS(2,COLUMN())),OFFSET($BN$2,0,0,ROW()-1,60),ROW()-1,FALSE))</f>
        <v>597.76900000000001</v>
      </c>
      <c r="BA71">
        <f ca="1">IF(AND(ISNUMBER($BA$210),$B$145=1),$BA$210,HLOOKUP(INDIRECT(ADDRESS(2,COLUMN())),OFFSET($BN$2,0,0,ROW()-1,60),ROW()-1,FALSE))</f>
        <v>639.64800000000002</v>
      </c>
      <c r="BB71">
        <f ca="1">IF(AND(ISNUMBER($BB$210),$B$145=1),$BB$210,HLOOKUP(INDIRECT(ADDRESS(2,COLUMN())),OFFSET($BN$2,0,0,ROW()-1,60),ROW()-1,FALSE))</f>
        <v>684.89499999999998</v>
      </c>
      <c r="BC71">
        <f ca="1">IF(AND(ISNUMBER($BC$210),$B$145=1),$BC$210,HLOOKUP(INDIRECT(ADDRESS(2,COLUMN())),OFFSET($BN$2,0,0,ROW()-1,60),ROW()-1,FALSE))</f>
        <v>734.75</v>
      </c>
      <c r="BD71">
        <f ca="1">IF(AND(ISNUMBER($BD$210),$B$145=1),$BD$210,HLOOKUP(INDIRECT(ADDRESS(2,COLUMN())),OFFSET($BN$2,0,0,ROW()-1,60),ROW()-1,FALSE))</f>
        <v>640.25099999999998</v>
      </c>
      <c r="BE71">
        <f ca="1">IF(AND(ISNUMBER($BE$210),$B$145=1),$BE$210,HLOOKUP(INDIRECT(ADDRESS(2,COLUMN())),OFFSET($BN$2,0,0,ROW()-1,60),ROW()-1,FALSE))</f>
        <v>555.95100000000002</v>
      </c>
      <c r="BF71">
        <f ca="1">IF(AND(ISNUMBER($BF$210),$B$145=1),$BF$210,HLOOKUP(INDIRECT(ADDRESS(2,COLUMN())),OFFSET($BN$2,0,0,ROW()-1,60),ROW()-1,FALSE))</f>
        <v>584.41300000000001</v>
      </c>
      <c r="BG71">
        <f ca="1">IF(AND(ISNUMBER($BG$210),$B$145=1),$BG$210,HLOOKUP(INDIRECT(ADDRESS(2,COLUMN())),OFFSET($BN$2,0,0,ROW()-1,60),ROW()-1,FALSE))</f>
        <v>580.97799999999995</v>
      </c>
      <c r="BH71">
        <f ca="1">IF(AND(ISNUMBER($BH$210),$B$145=1),$BH$210,HLOOKUP(INDIRECT(ADDRESS(2,COLUMN())),OFFSET($BN$2,0,0,ROW()-1,60),ROW()-1,FALSE))</f>
        <v>434.53500000000003</v>
      </c>
      <c r="BI71">
        <f ca="1">IF(AND(ISNUMBER($BI$210),$B$145=1),$BI$210,HLOOKUP(INDIRECT(ADDRESS(2,COLUMN())),OFFSET($BN$2,0,0,ROW()-1,60),ROW()-1,FALSE))</f>
        <v>412.58100000000002</v>
      </c>
      <c r="BJ71">
        <f ca="1">IF(AND(ISNUMBER($BJ$210),$B$145=1),$BJ$210,HLOOKUP(INDIRECT(ADDRESS(2,COLUMN())),OFFSET($BN$2,0,0,ROW()-1,60),ROW()-1,FALSE))</f>
        <v>426.74200000000002</v>
      </c>
      <c r="BK71">
        <f ca="1">IF(AND(ISNUMBER($BK$210),$B$145=1),$BK$210,HLOOKUP(INDIRECT(ADDRESS(2,COLUMN())),OFFSET($BN$2,0,0,ROW()-1,60),ROW()-1,FALSE))</f>
        <v>518.44600000000003</v>
      </c>
      <c r="BL71">
        <f ca="1">IF(AND(ISNUMBER($BL$210),$B$145=1),$BL$210,HLOOKUP(INDIRECT(ADDRESS(2,COLUMN())),OFFSET($BN$2,0,0,ROW()-1,60),ROW()-1,FALSE))</f>
        <v>469.92</v>
      </c>
      <c r="BM71" t="str">
        <f ca="1">IF(AND(ISNUMBER($BM$210),$B$145=1),$BM$210,HLOOKUP(INDIRECT(ADDRESS(2,COLUMN())),OFFSET($BN$2,0,0,ROW()-1,60),ROW()-1,FALSE))</f>
        <v/>
      </c>
      <c r="BN71">
        <f>1203.167</f>
        <v>1203.1669999999999</v>
      </c>
      <c r="BO71">
        <f>1661.548</f>
        <v>1661.548</v>
      </c>
      <c r="BP71">
        <f>1371.369</f>
        <v>1371.3689999999999</v>
      </c>
      <c r="BQ71">
        <f>1536.128</f>
        <v>1536.1279999999999</v>
      </c>
      <c r="BR71">
        <f>1522.253</f>
        <v>1522.2529999999999</v>
      </c>
      <c r="BS71">
        <f>1796.819</f>
        <v>1796.819</v>
      </c>
      <c r="BT71">
        <f>1581.172</f>
        <v>1581.172</v>
      </c>
      <c r="BU71">
        <f>1492.958</f>
        <v>1492.9580000000001</v>
      </c>
      <c r="BV71">
        <f>2187.788</f>
        <v>2187.788</v>
      </c>
      <c r="BW71">
        <f>3110.499</f>
        <v>3110.4989999999998</v>
      </c>
      <c r="BX71">
        <f>3139.203</f>
        <v>3139.203</v>
      </c>
      <c r="BY71">
        <f>3716.951</f>
        <v>3716.951</v>
      </c>
      <c r="BZ71">
        <f>2128.335</f>
        <v>2128.335</v>
      </c>
      <c r="CA71">
        <f>3801.136</f>
        <v>3801.136</v>
      </c>
      <c r="CB71">
        <f>2659.238</f>
        <v>2659.2379999999998</v>
      </c>
      <c r="CC71">
        <f>1925.676</f>
        <v>1925.6759999999999</v>
      </c>
      <c r="CD71">
        <f>2127.8</f>
        <v>2127.8000000000002</v>
      </c>
      <c r="CE71">
        <f>2317.501</f>
        <v>2317.5010000000002</v>
      </c>
      <c r="CF71">
        <f>2438.223</f>
        <v>2438.223</v>
      </c>
      <c r="CG71">
        <f>2878.268</f>
        <v>2878.268</v>
      </c>
      <c r="CH71">
        <f>1067.073</f>
        <v>1067.0730000000001</v>
      </c>
      <c r="CI71">
        <f>1183.482</f>
        <v>1183.482</v>
      </c>
      <c r="CJ71">
        <f>1064.719</f>
        <v>1064.7190000000001</v>
      </c>
      <c r="CK71">
        <f>792.743</f>
        <v>792.74300000000005</v>
      </c>
      <c r="CL71">
        <f>491.668</f>
        <v>491.66800000000001</v>
      </c>
      <c r="CM71">
        <f>1200.035</f>
        <v>1200.0350000000001</v>
      </c>
      <c r="CN71">
        <f>1088.673</f>
        <v>1088.673</v>
      </c>
      <c r="CO71">
        <f>781.96</f>
        <v>781.96</v>
      </c>
      <c r="CP71">
        <f>866.237</f>
        <v>866.23699999999997</v>
      </c>
      <c r="CQ71">
        <f>659.735</f>
        <v>659.73500000000001</v>
      </c>
      <c r="CR71">
        <f>574.145</f>
        <v>574.14499999999998</v>
      </c>
      <c r="CS71">
        <f>659.029</f>
        <v>659.029</v>
      </c>
      <c r="CT71">
        <f>755.851</f>
        <v>755.851</v>
      </c>
      <c r="CU71">
        <f>812.282</f>
        <v>812.28200000000004</v>
      </c>
      <c r="CV71">
        <f>898.331</f>
        <v>898.33100000000002</v>
      </c>
      <c r="CW71">
        <f>761.534</f>
        <v>761.53399999999999</v>
      </c>
      <c r="CX71">
        <f>547.551</f>
        <v>547.55100000000004</v>
      </c>
      <c r="CY71">
        <f>603.757</f>
        <v>603.75699999999995</v>
      </c>
      <c r="CZ71">
        <f>505.714</f>
        <v>505.714</v>
      </c>
      <c r="DA71">
        <f>666.759</f>
        <v>666.75900000000001</v>
      </c>
      <c r="DB71">
        <f>594.618</f>
        <v>594.61800000000005</v>
      </c>
      <c r="DC71">
        <f>537.022</f>
        <v>537.02200000000005</v>
      </c>
      <c r="DD71">
        <f>560.813</f>
        <v>560.81299999999999</v>
      </c>
      <c r="DE71">
        <f>557.295</f>
        <v>557.29499999999996</v>
      </c>
      <c r="DF71">
        <f>601.16</f>
        <v>601.16</v>
      </c>
      <c r="DG71">
        <f>594.53</f>
        <v>594.53</v>
      </c>
      <c r="DH71">
        <f>597.769</f>
        <v>597.76900000000001</v>
      </c>
      <c r="DI71">
        <f>639.648</f>
        <v>639.64800000000002</v>
      </c>
      <c r="DJ71">
        <f>684.895</f>
        <v>684.89499999999998</v>
      </c>
      <c r="DK71">
        <f>734.75</f>
        <v>734.75</v>
      </c>
      <c r="DL71">
        <f>640.251</f>
        <v>640.25099999999998</v>
      </c>
      <c r="DM71">
        <f>555.951</f>
        <v>555.95100000000002</v>
      </c>
      <c r="DN71">
        <f>584.413</f>
        <v>584.41300000000001</v>
      </c>
      <c r="DO71">
        <f>580.978</f>
        <v>580.97799999999995</v>
      </c>
      <c r="DP71">
        <f>434.535</f>
        <v>434.53500000000003</v>
      </c>
      <c r="DQ71">
        <f>412.581</f>
        <v>412.58100000000002</v>
      </c>
      <c r="DR71">
        <f>426.742</f>
        <v>426.74200000000002</v>
      </c>
      <c r="DS71">
        <f>518.446</f>
        <v>518.44600000000003</v>
      </c>
      <c r="DT71">
        <f>469.92</f>
        <v>469.92</v>
      </c>
      <c r="DU71" t="str">
        <f>""</f>
        <v/>
      </c>
    </row>
    <row r="72" spans="1:125" x14ac:dyDescent="0.25">
      <c r="A72" t="str">
        <f>"            Comerica Inc"</f>
        <v xml:space="preserve">            Comerica Inc</v>
      </c>
      <c r="B72" t="str">
        <f>"CMA US Equity"</f>
        <v>CMA US Equity</v>
      </c>
      <c r="C72" t="str">
        <f t="shared" si="9"/>
        <v>FC070</v>
      </c>
      <c r="D72" t="str">
        <f t="shared" si="10"/>
        <v>FDIC_TRADING_ACCT_ASSETS</v>
      </c>
      <c r="E72" t="str">
        <f t="shared" si="11"/>
        <v>Dynamic</v>
      </c>
      <c r="F72" t="str">
        <f ca="1">IF(AND(ISNUMBER($F$211),$B$145=1),$F$211,HLOOKUP(INDIRECT(ADDRESS(2,COLUMN())),OFFSET($BN$2,0,0,ROW()-1,60),ROW()-1,FALSE))</f>
        <v/>
      </c>
      <c r="G72">
        <f ca="1">IF(AND(ISNUMBER($G$211),$B$145=1),$G$211,HLOOKUP(INDIRECT(ADDRESS(2,COLUMN())),OFFSET($BN$2,0,0,ROW()-1,60),ROW()-1,FALSE))</f>
        <v>544</v>
      </c>
      <c r="H72">
        <f ca="1">IF(AND(ISNUMBER($H$211),$B$145=1),$H$211,HLOOKUP(INDIRECT(ADDRESS(2,COLUMN())),OFFSET($BN$2,0,0,ROW()-1,60),ROW()-1,FALSE))</f>
        <v>542</v>
      </c>
      <c r="I72">
        <f ca="1">IF(AND(ISNUMBER($I$211),$B$145=1),$I$211,HLOOKUP(INDIRECT(ADDRESS(2,COLUMN())),OFFSET($BN$2,0,0,ROW()-1,60),ROW()-1,FALSE))</f>
        <v>648</v>
      </c>
      <c r="J72">
        <f ca="1">IF(AND(ISNUMBER($J$211),$B$145=1),$J$211,HLOOKUP(INDIRECT(ADDRESS(2,COLUMN())),OFFSET($BN$2,0,0,ROW()-1,60),ROW()-1,FALSE))</f>
        <v>668</v>
      </c>
      <c r="K72">
        <f ca="1">IF(AND(ISNUMBER($K$211),$B$145=1),$K$211,HLOOKUP(INDIRECT(ADDRESS(2,COLUMN())),OFFSET($BN$2,0,0,ROW()-1,60),ROW()-1,FALSE))</f>
        <v>672</v>
      </c>
      <c r="L72">
        <f ca="1">IF(AND(ISNUMBER($L$211),$B$145=1),$L$211,HLOOKUP(INDIRECT(ADDRESS(2,COLUMN())),OFFSET($BN$2,0,0,ROW()-1,60),ROW()-1,FALSE))</f>
        <v>577</v>
      </c>
      <c r="M72">
        <f ca="1">IF(AND(ISNUMBER($M$211),$B$145=1),$M$211,HLOOKUP(INDIRECT(ADDRESS(2,COLUMN())),OFFSET($BN$2,0,0,ROW()-1,60),ROW()-1,FALSE))</f>
        <v>459</v>
      </c>
      <c r="N72">
        <f ca="1">IF(AND(ISNUMBER($N$211),$B$145=1),$N$211,HLOOKUP(INDIRECT(ADDRESS(2,COLUMN())),OFFSET($BN$2,0,0,ROW()-1,60),ROW()-1,FALSE))</f>
        <v>545</v>
      </c>
      <c r="O72">
        <f ca="1">IF(AND(ISNUMBER($O$211),$B$145=1),$O$211,HLOOKUP(INDIRECT(ADDRESS(2,COLUMN())),OFFSET($BN$2,0,0,ROW()-1,60),ROW()-1,FALSE))</f>
        <v>730</v>
      </c>
      <c r="P72">
        <f ca="1">IF(AND(ISNUMBER($P$211),$B$145=1),$P$211,HLOOKUP(INDIRECT(ADDRESS(2,COLUMN())),OFFSET($BN$2,0,0,ROW()-1,60),ROW()-1,FALSE))</f>
        <v>1379</v>
      </c>
      <c r="Q72">
        <f ca="1">IF(AND(ISNUMBER($Q$211),$B$145=1),$Q$211,HLOOKUP(INDIRECT(ADDRESS(2,COLUMN())),OFFSET($BN$2,0,0,ROW()-1,60),ROW()-1,FALSE))</f>
        <v>1615</v>
      </c>
      <c r="R72">
        <f ca="1">IF(AND(ISNUMBER($R$211),$B$145=1),$R$211,HLOOKUP(INDIRECT(ADDRESS(2,COLUMN())),OFFSET($BN$2,0,0,ROW()-1,60),ROW()-1,FALSE))</f>
        <v>859</v>
      </c>
      <c r="S72">
        <f ca="1">IF(AND(ISNUMBER($S$211),$B$145=1),$S$211,HLOOKUP(INDIRECT(ADDRESS(2,COLUMN())),OFFSET($BN$2,0,0,ROW()-1,60),ROW()-1,FALSE))</f>
        <v>1144</v>
      </c>
      <c r="T72">
        <f ca="1">IF(AND(ISNUMBER($T$211),$B$145=1),$T$211,HLOOKUP(INDIRECT(ADDRESS(2,COLUMN())),OFFSET($BN$2,0,0,ROW()-1,60),ROW()-1,FALSE))</f>
        <v>1009</v>
      </c>
      <c r="U72">
        <f ca="1">IF(AND(ISNUMBER($U$211),$B$145=1),$U$211,HLOOKUP(INDIRECT(ADDRESS(2,COLUMN())),OFFSET($BN$2,0,0,ROW()-1,60),ROW()-1,FALSE))</f>
        <v>671</v>
      </c>
      <c r="V72">
        <f ca="1">IF(AND(ISNUMBER($V$211),$B$145=1),$V$211,HLOOKUP(INDIRECT(ADDRESS(2,COLUMN())),OFFSET($BN$2,0,0,ROW()-1,60),ROW()-1,FALSE))</f>
        <v>713</v>
      </c>
      <c r="W72">
        <f ca="1">IF(AND(ISNUMBER($W$211),$B$145=1),$W$211,HLOOKUP(INDIRECT(ADDRESS(2,COLUMN())),OFFSET($BN$2,0,0,ROW()-1,60),ROW()-1,FALSE))</f>
        <v>740</v>
      </c>
      <c r="X72">
        <f ca="1">IF(AND(ISNUMBER($X$211),$B$145=1),$X$211,HLOOKUP(INDIRECT(ADDRESS(2,COLUMN())),OFFSET($BN$2,0,0,ROW()-1,60),ROW()-1,FALSE))</f>
        <v>769</v>
      </c>
      <c r="Y72">
        <f ca="1">IF(AND(ISNUMBER($Y$211),$B$145=1),$Y$211,HLOOKUP(INDIRECT(ADDRESS(2,COLUMN())),OFFSET($BN$2,0,0,ROW()-1,60),ROW()-1,FALSE))</f>
        <v>712</v>
      </c>
      <c r="Z72">
        <f ca="1">IF(AND(ISNUMBER($Z$211),$B$145=1),$Z$211,HLOOKUP(INDIRECT(ADDRESS(2,COLUMN())),OFFSET($BN$2,0,0,ROW()-1,60),ROW()-1,FALSE))</f>
        <v>342</v>
      </c>
      <c r="AA72">
        <f ca="1">IF(AND(ISNUMBER($AA$211),$B$145=1),$AA$211,HLOOKUP(INDIRECT(ADDRESS(2,COLUMN())),OFFSET($BN$2,0,0,ROW()-1,60),ROW()-1,FALSE))</f>
        <v>395</v>
      </c>
      <c r="AB72">
        <f ca="1">IF(AND(ISNUMBER($AB$211),$B$145=1),$AB$211,HLOOKUP(INDIRECT(ADDRESS(2,COLUMN())),OFFSET($BN$2,0,0,ROW()-1,60),ROW()-1,FALSE))</f>
        <v>328</v>
      </c>
      <c r="AC72">
        <f ca="1">IF(AND(ISNUMBER($AC$211),$B$145=1),$AC$211,HLOOKUP(INDIRECT(ADDRESS(2,COLUMN())),OFFSET($BN$2,0,0,ROW()-1,60),ROW()-1,FALSE))</f>
        <v>230</v>
      </c>
      <c r="AD72">
        <f ca="1">IF(AND(ISNUMBER($AD$211),$B$145=1),$AD$211,HLOOKUP(INDIRECT(ADDRESS(2,COLUMN())),OFFSET($BN$2,0,0,ROW()-1,60),ROW()-1,FALSE))</f>
        <v>144.02799999999999</v>
      </c>
      <c r="AE72">
        <f ca="1">IF(AND(ISNUMBER($AE$211),$B$145=1),$AE$211,HLOOKUP(INDIRECT(ADDRESS(2,COLUMN())),OFFSET($BN$2,0,0,ROW()-1,60),ROW()-1,FALSE))</f>
        <v>312.60000000000002</v>
      </c>
      <c r="AF72">
        <f ca="1">IF(AND(ISNUMBER($AF$211),$B$145=1),$AF$211,HLOOKUP(INDIRECT(ADDRESS(2,COLUMN())),OFFSET($BN$2,0,0,ROW()-1,60),ROW()-1,FALSE))</f>
        <v>286.42500000000001</v>
      </c>
      <c r="AG72">
        <f ca="1">IF(AND(ISNUMBER($AG$211),$B$145=1),$AG$211,HLOOKUP(INDIRECT(ADDRESS(2,COLUMN())),OFFSET($BN$2,0,0,ROW()-1,60),ROW()-1,FALSE))</f>
        <v>215.94300000000001</v>
      </c>
      <c r="AH72">
        <f ca="1">IF(AND(ISNUMBER($AH$211),$B$145=1),$AH$211,HLOOKUP(INDIRECT(ADDRESS(2,COLUMN())),OFFSET($BN$2,0,0,ROW()-1,60),ROW()-1,FALSE))</f>
        <v>233.88</v>
      </c>
      <c r="AI72">
        <f ca="1">IF(AND(ISNUMBER($AI$211),$B$145=1),$AI$211,HLOOKUP(INDIRECT(ADDRESS(2,COLUMN())),OFFSET($BN$2,0,0,ROW()-1,60),ROW()-1,FALSE))</f>
        <v>208.904</v>
      </c>
      <c r="AJ72">
        <f ca="1">IF(AND(ISNUMBER($AJ$211),$B$145=1),$AJ$211,HLOOKUP(INDIRECT(ADDRESS(2,COLUMN())),OFFSET($BN$2,0,0,ROW()-1,60),ROW()-1,FALSE))</f>
        <v>201.613</v>
      </c>
      <c r="AK72">
        <f ca="1">IF(AND(ISNUMBER($AK$211),$B$145=1),$AK$211,HLOOKUP(INDIRECT(ADDRESS(2,COLUMN())),OFFSET($BN$2,0,0,ROW()-1,60),ROW()-1,FALSE))</f>
        <v>189.33799999999999</v>
      </c>
      <c r="AL72">
        <f ca="1">IF(AND(ISNUMBER($AL$211),$B$145=1),$AL$211,HLOOKUP(INDIRECT(ADDRESS(2,COLUMN())),OFFSET($BN$2,0,0,ROW()-1,60),ROW()-1,FALSE))</f>
        <v>287.63799999999998</v>
      </c>
      <c r="AM72">
        <f ca="1">IF(AND(ISNUMBER($AM$211),$B$145=1),$AM$211,HLOOKUP(INDIRECT(ADDRESS(2,COLUMN())),OFFSET($BN$2,0,0,ROW()-1,60),ROW()-1,FALSE))</f>
        <v>373.06900000000002</v>
      </c>
      <c r="AN72">
        <f ca="1">IF(AND(ISNUMBER($AN$211),$B$145=1),$AN$211,HLOOKUP(INDIRECT(ADDRESS(2,COLUMN())),OFFSET($BN$2,0,0,ROW()-1,60),ROW()-1,FALSE))</f>
        <v>432.83199999999999</v>
      </c>
      <c r="AO72">
        <f ca="1">IF(AND(ISNUMBER($AO$211),$B$145=1),$AO$211,HLOOKUP(INDIRECT(ADDRESS(2,COLUMN())),OFFSET($BN$2,0,0,ROW()-1,60),ROW()-1,FALSE))</f>
        <v>421.33499999999998</v>
      </c>
      <c r="AP72">
        <f ca="1">IF(AND(ISNUMBER($AP$211),$B$145=1),$AP$211,HLOOKUP(INDIRECT(ADDRESS(2,COLUMN())),OFFSET($BN$2,0,0,ROW()-1,60),ROW()-1,FALSE))</f>
        <v>393.09</v>
      </c>
      <c r="AQ72">
        <f ca="1">IF(AND(ISNUMBER($AQ$211),$B$145=1),$AQ$211,HLOOKUP(INDIRECT(ADDRESS(2,COLUMN())),OFFSET($BN$2,0,0,ROW()-1,60),ROW()-1,FALSE))</f>
        <v>450.488</v>
      </c>
      <c r="AR72">
        <f ca="1">IF(AND(ISNUMBER($AR$211),$B$145=1),$AR$211,HLOOKUP(INDIRECT(ADDRESS(2,COLUMN())),OFFSET($BN$2,0,0,ROW()-1,60),ROW()-1,FALSE))</f>
        <v>361.25</v>
      </c>
      <c r="AS72">
        <f ca="1">IF(AND(ISNUMBER($AS$211),$B$145=1),$AS$211,HLOOKUP(INDIRECT(ADDRESS(2,COLUMN())),OFFSET($BN$2,0,0,ROW()-1,60),ROW()-1,FALSE))</f>
        <v>490.18900000000002</v>
      </c>
      <c r="AT72">
        <f ca="1">IF(AND(ISNUMBER($AT$211),$B$145=1),$AT$211,HLOOKUP(INDIRECT(ADDRESS(2,COLUMN())),OFFSET($BN$2,0,0,ROW()-1,60),ROW()-1,FALSE))</f>
        <v>495.15499999999997</v>
      </c>
      <c r="AU72">
        <f ca="1">IF(AND(ISNUMBER($AU$211),$B$145=1),$AU$211,HLOOKUP(INDIRECT(ADDRESS(2,COLUMN())),OFFSET($BN$2,0,0,ROW()-1,60),ROW()-1,FALSE))</f>
        <v>305.21699999999998</v>
      </c>
      <c r="AV72">
        <f ca="1">IF(AND(ISNUMBER($AV$211),$B$145=1),$AV$211,HLOOKUP(INDIRECT(ADDRESS(2,COLUMN())),OFFSET($BN$2,0,0,ROW()-1,60),ROW()-1,FALSE))</f>
        <v>384.79</v>
      </c>
      <c r="AW72">
        <f ca="1">IF(AND(ISNUMBER($AW$211),$B$145=1),$AW$211,HLOOKUP(INDIRECT(ADDRESS(2,COLUMN())),OFFSET($BN$2,0,0,ROW()-1,60),ROW()-1,FALSE))</f>
        <v>320.08699999999999</v>
      </c>
      <c r="AX72">
        <f ca="1">IF(AND(ISNUMBER($AX$211),$B$145=1),$AX$211,HLOOKUP(INDIRECT(ADDRESS(2,COLUMN())),OFFSET($BN$2,0,0,ROW()-1,60),ROW()-1,FALSE))</f>
        <v>329.14400000000001</v>
      </c>
      <c r="AY72">
        <f ca="1">IF(AND(ISNUMBER($AY$211),$B$145=1),$AY$211,HLOOKUP(INDIRECT(ADDRESS(2,COLUMN())),OFFSET($BN$2,0,0,ROW()-1,60),ROW()-1,FALSE))</f>
        <v>318.738</v>
      </c>
      <c r="AZ72">
        <f ca="1">IF(AND(ISNUMBER($AZ$211),$B$145=1),$AZ$211,HLOOKUP(INDIRECT(ADDRESS(2,COLUMN())),OFFSET($BN$2,0,0,ROW()-1,60),ROW()-1,FALSE))</f>
        <v>360.892</v>
      </c>
      <c r="BA72">
        <f ca="1">IF(AND(ISNUMBER($BA$211),$B$145=1),$BA$211,HLOOKUP(INDIRECT(ADDRESS(2,COLUMN())),OFFSET($BN$2,0,0,ROW()-1,60),ROW()-1,FALSE))</f>
        <v>400.33699999999999</v>
      </c>
      <c r="BB72">
        <f ca="1">IF(AND(ISNUMBER($BB$211),$B$145=1),$BB$211,HLOOKUP(INDIRECT(ADDRESS(2,COLUMN())),OFFSET($BN$2,0,0,ROW()-1,60),ROW()-1,FALSE))</f>
        <v>568.19100000000003</v>
      </c>
      <c r="BC72">
        <f ca="1">IF(AND(ISNUMBER($BC$211),$B$145=1),$BC$211,HLOOKUP(INDIRECT(ADDRESS(2,COLUMN())),OFFSET($BN$2,0,0,ROW()-1,60),ROW()-1,FALSE))</f>
        <v>599.79600000000005</v>
      </c>
      <c r="BD72">
        <f ca="1">IF(AND(ISNUMBER($BD$211),$B$145=1),$BD$211,HLOOKUP(INDIRECT(ADDRESS(2,COLUMN())),OFFSET($BN$2,0,0,ROW()-1,60),ROW()-1,FALSE))</f>
        <v>640.90599999999995</v>
      </c>
      <c r="BE72">
        <f ca="1">IF(AND(ISNUMBER($BE$211),$B$145=1),$BE$211,HLOOKUP(INDIRECT(ADDRESS(2,COLUMN())),OFFSET($BN$2,0,0,ROW()-1,60),ROW()-1,FALSE))</f>
        <v>596.61900000000003</v>
      </c>
      <c r="BF72">
        <f ca="1">IF(AND(ISNUMBER($BF$211),$B$145=1),$BF$211,HLOOKUP(INDIRECT(ADDRESS(2,COLUMN())),OFFSET($BN$2,0,0,ROW()-1,60),ROW()-1,FALSE))</f>
        <v>553.88499999999999</v>
      </c>
      <c r="BG72">
        <f ca="1">IF(AND(ISNUMBER($BG$211),$B$145=1),$BG$211,HLOOKUP(INDIRECT(ADDRESS(2,COLUMN())),OFFSET($BN$2,0,0,ROW()-1,60),ROW()-1,FALSE))</f>
        <v>587.27499999999998</v>
      </c>
      <c r="BH72">
        <f ca="1">IF(AND(ISNUMBER($BH$211),$B$145=1),$BH$211,HLOOKUP(INDIRECT(ADDRESS(2,COLUMN())),OFFSET($BN$2,0,0,ROW()-1,60),ROW()-1,FALSE))</f>
        <v>501.255</v>
      </c>
      <c r="BI72">
        <f ca="1">IF(AND(ISNUMBER($BI$211),$B$145=1),$BI$211,HLOOKUP(INDIRECT(ADDRESS(2,COLUMN())),OFFSET($BN$2,0,0,ROW()-1,60),ROW()-1,FALSE))</f>
        <v>581.57000000000005</v>
      </c>
      <c r="BJ72">
        <f ca="1">IF(AND(ISNUMBER($BJ$211),$B$145=1),$BJ$211,HLOOKUP(INDIRECT(ADDRESS(2,COLUMN())),OFFSET($BN$2,0,0,ROW()-1,60),ROW()-1,FALSE))</f>
        <v>546.072</v>
      </c>
      <c r="BK72">
        <f ca="1">IF(AND(ISNUMBER($BK$211),$B$145=1),$BK$211,HLOOKUP(INDIRECT(ADDRESS(2,COLUMN())),OFFSET($BN$2,0,0,ROW()-1,60),ROW()-1,FALSE))</f>
        <v>580.42700000000002</v>
      </c>
      <c r="BL72">
        <f ca="1">IF(AND(ISNUMBER($BL$211),$B$145=1),$BL$211,HLOOKUP(INDIRECT(ADDRESS(2,COLUMN())),OFFSET($BN$2,0,0,ROW()-1,60),ROW()-1,FALSE))</f>
        <v>562.899</v>
      </c>
      <c r="BM72">
        <f ca="1">IF(AND(ISNUMBER($BM$211),$B$145=1),$BM$211,HLOOKUP(INDIRECT(ADDRESS(2,COLUMN())),OFFSET($BN$2,0,0,ROW()-1,60),ROW()-1,FALSE))</f>
        <v>579.69200000000001</v>
      </c>
      <c r="BN72" t="str">
        <f>""</f>
        <v/>
      </c>
      <c r="BO72">
        <f>544</f>
        <v>544</v>
      </c>
      <c r="BP72">
        <f>542</f>
        <v>542</v>
      </c>
      <c r="BQ72">
        <f>648</f>
        <v>648</v>
      </c>
      <c r="BR72">
        <f>668</f>
        <v>668</v>
      </c>
      <c r="BS72">
        <f>672</f>
        <v>672</v>
      </c>
      <c r="BT72">
        <f>577</f>
        <v>577</v>
      </c>
      <c r="BU72">
        <f>459</f>
        <v>459</v>
      </c>
      <c r="BV72">
        <f>545</f>
        <v>545</v>
      </c>
      <c r="BW72">
        <f>730</f>
        <v>730</v>
      </c>
      <c r="BX72">
        <f>1379</f>
        <v>1379</v>
      </c>
      <c r="BY72">
        <f>1615</f>
        <v>1615</v>
      </c>
      <c r="BZ72">
        <f>859</f>
        <v>859</v>
      </c>
      <c r="CA72">
        <f>1144</f>
        <v>1144</v>
      </c>
      <c r="CB72">
        <f>1009</f>
        <v>1009</v>
      </c>
      <c r="CC72">
        <f>671</f>
        <v>671</v>
      </c>
      <c r="CD72">
        <f>713</f>
        <v>713</v>
      </c>
      <c r="CE72">
        <f>740</f>
        <v>740</v>
      </c>
      <c r="CF72">
        <f>769</f>
        <v>769</v>
      </c>
      <c r="CG72">
        <f>712</f>
        <v>712</v>
      </c>
      <c r="CH72">
        <f>342</f>
        <v>342</v>
      </c>
      <c r="CI72">
        <f>395</f>
        <v>395</v>
      </c>
      <c r="CJ72">
        <f>328</f>
        <v>328</v>
      </c>
      <c r="CK72">
        <f>230</f>
        <v>230</v>
      </c>
      <c r="CL72">
        <f>144.028</f>
        <v>144.02799999999999</v>
      </c>
      <c r="CM72">
        <f>312.6</f>
        <v>312.60000000000002</v>
      </c>
      <c r="CN72">
        <f>286.425</f>
        <v>286.42500000000001</v>
      </c>
      <c r="CO72">
        <f>215.943</f>
        <v>215.94300000000001</v>
      </c>
      <c r="CP72">
        <f>233.88</f>
        <v>233.88</v>
      </c>
      <c r="CQ72">
        <f>208.904</f>
        <v>208.904</v>
      </c>
      <c r="CR72">
        <f>201.613</f>
        <v>201.613</v>
      </c>
      <c r="CS72">
        <f>189.338</f>
        <v>189.33799999999999</v>
      </c>
      <c r="CT72">
        <f>287.638</f>
        <v>287.63799999999998</v>
      </c>
      <c r="CU72">
        <f>373.069</f>
        <v>373.06900000000002</v>
      </c>
      <c r="CV72">
        <f>432.832</f>
        <v>432.83199999999999</v>
      </c>
      <c r="CW72">
        <f>421.335</f>
        <v>421.33499999999998</v>
      </c>
      <c r="CX72">
        <f>393.09</f>
        <v>393.09</v>
      </c>
      <c r="CY72">
        <f>450.488</f>
        <v>450.488</v>
      </c>
      <c r="CZ72">
        <f>361.25</f>
        <v>361.25</v>
      </c>
      <c r="DA72">
        <f>490.189</f>
        <v>490.18900000000002</v>
      </c>
      <c r="DB72">
        <f>495.155</f>
        <v>495.15499999999997</v>
      </c>
      <c r="DC72">
        <f>305.217</f>
        <v>305.21699999999998</v>
      </c>
      <c r="DD72">
        <f>384.79</f>
        <v>384.79</v>
      </c>
      <c r="DE72">
        <f>320.087</f>
        <v>320.08699999999999</v>
      </c>
      <c r="DF72">
        <f>329.144</f>
        <v>329.14400000000001</v>
      </c>
      <c r="DG72">
        <f>318.738</f>
        <v>318.738</v>
      </c>
      <c r="DH72">
        <f>360.892</f>
        <v>360.892</v>
      </c>
      <c r="DI72">
        <f>400.337</f>
        <v>400.33699999999999</v>
      </c>
      <c r="DJ72">
        <f>568.191</f>
        <v>568.19100000000003</v>
      </c>
      <c r="DK72">
        <f>599.796</f>
        <v>599.79600000000005</v>
      </c>
      <c r="DL72">
        <f>640.906</f>
        <v>640.90599999999995</v>
      </c>
      <c r="DM72">
        <f>596.619</f>
        <v>596.61900000000003</v>
      </c>
      <c r="DN72">
        <f>553.885</f>
        <v>553.88499999999999</v>
      </c>
      <c r="DO72">
        <f>587.275</f>
        <v>587.27499999999998</v>
      </c>
      <c r="DP72">
        <f>501.255</f>
        <v>501.255</v>
      </c>
      <c r="DQ72">
        <f>581.57</f>
        <v>581.57000000000005</v>
      </c>
      <c r="DR72">
        <f>546.072</f>
        <v>546.072</v>
      </c>
      <c r="DS72">
        <f>580.427</f>
        <v>580.42700000000002</v>
      </c>
      <c r="DT72">
        <f>562.899</f>
        <v>562.899</v>
      </c>
      <c r="DU72">
        <f>579.692</f>
        <v>579.69200000000001</v>
      </c>
    </row>
    <row r="73" spans="1:125" x14ac:dyDescent="0.25">
      <c r="A73" t="str">
        <f>"            East West Bancorp Inc"</f>
        <v xml:space="preserve">            East West Bancorp Inc</v>
      </c>
      <c r="B73" t="str">
        <f>"EWBC US Equity"</f>
        <v>EWBC US Equity</v>
      </c>
      <c r="C73" t="str">
        <f t="shared" si="9"/>
        <v>FC070</v>
      </c>
      <c r="D73" t="str">
        <f t="shared" si="10"/>
        <v>FDIC_TRADING_ACCT_ASSETS</v>
      </c>
      <c r="E73" t="str">
        <f t="shared" si="11"/>
        <v>Dynamic</v>
      </c>
      <c r="F73">
        <f ca="1">IF(AND(ISNUMBER($F$212),$B$145=1),$F$212,HLOOKUP(INDIRECT(ADDRESS(2,COLUMN())),OFFSET($BN$2,0,0,ROW()-1,60),ROW()-1,FALSE))</f>
        <v>0</v>
      </c>
      <c r="G73">
        <f ca="1">IF(AND(ISNUMBER($G$212),$B$145=1),$G$212,HLOOKUP(INDIRECT(ADDRESS(2,COLUMN())),OFFSET($BN$2,0,0,ROW()-1,60),ROW()-1,FALSE))</f>
        <v>0</v>
      </c>
      <c r="H73">
        <f ca="1">IF(AND(ISNUMBER($H$212),$B$145=1),$H$212,HLOOKUP(INDIRECT(ADDRESS(2,COLUMN())),OFFSET($BN$2,0,0,ROW()-1,60),ROW()-1,FALSE))</f>
        <v>0</v>
      </c>
      <c r="I73">
        <f ca="1">IF(AND(ISNUMBER($I$212),$B$145=1),$I$212,HLOOKUP(INDIRECT(ADDRESS(2,COLUMN())),OFFSET($BN$2,0,0,ROW()-1,60),ROW()-1,FALSE))</f>
        <v>0</v>
      </c>
      <c r="J73">
        <f ca="1">IF(AND(ISNUMBER($J$212),$B$145=1),$J$212,HLOOKUP(INDIRECT(ADDRESS(2,COLUMN())),OFFSET($BN$2,0,0,ROW()-1,60),ROW()-1,FALSE))</f>
        <v>0</v>
      </c>
      <c r="K73">
        <f ca="1">IF(AND(ISNUMBER($K$212),$B$145=1),$K$212,HLOOKUP(INDIRECT(ADDRESS(2,COLUMN())),OFFSET($BN$2,0,0,ROW()-1,60),ROW()-1,FALSE))</f>
        <v>0</v>
      </c>
      <c r="L73">
        <f ca="1">IF(AND(ISNUMBER($L$212),$B$145=1),$L$212,HLOOKUP(INDIRECT(ADDRESS(2,COLUMN())),OFFSET($BN$2,0,0,ROW()-1,60),ROW()-1,FALSE))</f>
        <v>0</v>
      </c>
      <c r="M73">
        <f ca="1">IF(AND(ISNUMBER($M$212),$B$145=1),$M$212,HLOOKUP(INDIRECT(ADDRESS(2,COLUMN())),OFFSET($BN$2,0,0,ROW()-1,60),ROW()-1,FALSE))</f>
        <v>0</v>
      </c>
      <c r="N73">
        <f ca="1">IF(AND(ISNUMBER($N$212),$B$145=1),$N$212,HLOOKUP(INDIRECT(ADDRESS(2,COLUMN())),OFFSET($BN$2,0,0,ROW()-1,60),ROW()-1,FALSE))</f>
        <v>0</v>
      </c>
      <c r="O73">
        <f ca="1">IF(AND(ISNUMBER($O$212),$B$145=1),$O$212,HLOOKUP(INDIRECT(ADDRESS(2,COLUMN())),OFFSET($BN$2,0,0,ROW()-1,60),ROW()-1,FALSE))</f>
        <v>0</v>
      </c>
      <c r="P73">
        <f ca="1">IF(AND(ISNUMBER($P$212),$B$145=1),$P$212,HLOOKUP(INDIRECT(ADDRESS(2,COLUMN())),OFFSET($BN$2,0,0,ROW()-1,60),ROW()-1,FALSE))</f>
        <v>0</v>
      </c>
      <c r="Q73">
        <f ca="1">IF(AND(ISNUMBER($Q$212),$B$145=1),$Q$212,HLOOKUP(INDIRECT(ADDRESS(2,COLUMN())),OFFSET($BN$2,0,0,ROW()-1,60),ROW()-1,FALSE))</f>
        <v>0</v>
      </c>
      <c r="R73">
        <f ca="1">IF(AND(ISNUMBER($R$212),$B$145=1),$R$212,HLOOKUP(INDIRECT(ADDRESS(2,COLUMN())),OFFSET($BN$2,0,0,ROW()-1,60),ROW()-1,FALSE))</f>
        <v>0</v>
      </c>
      <c r="S73">
        <f ca="1">IF(AND(ISNUMBER($S$212),$B$145=1),$S$212,HLOOKUP(INDIRECT(ADDRESS(2,COLUMN())),OFFSET($BN$2,0,0,ROW()-1,60),ROW()-1,FALSE))</f>
        <v>0</v>
      </c>
      <c r="T73">
        <f ca="1">IF(AND(ISNUMBER($T$212),$B$145=1),$T$212,HLOOKUP(INDIRECT(ADDRESS(2,COLUMN())),OFFSET($BN$2,0,0,ROW()-1,60),ROW()-1,FALSE))</f>
        <v>0</v>
      </c>
      <c r="U73">
        <f ca="1">IF(AND(ISNUMBER($U$212),$B$145=1),$U$212,HLOOKUP(INDIRECT(ADDRESS(2,COLUMN())),OFFSET($BN$2,0,0,ROW()-1,60),ROW()-1,FALSE))</f>
        <v>0</v>
      </c>
      <c r="V73">
        <f ca="1">IF(AND(ISNUMBER($V$212),$B$145=1),$V$212,HLOOKUP(INDIRECT(ADDRESS(2,COLUMN())),OFFSET($BN$2,0,0,ROW()-1,60),ROW()-1,FALSE))</f>
        <v>0</v>
      </c>
      <c r="W73">
        <f ca="1">IF(AND(ISNUMBER($W$212),$B$145=1),$W$212,HLOOKUP(INDIRECT(ADDRESS(2,COLUMN())),OFFSET($BN$2,0,0,ROW()-1,60),ROW()-1,FALSE))</f>
        <v>0</v>
      </c>
      <c r="X73">
        <f ca="1">IF(AND(ISNUMBER($X$212),$B$145=1),$X$212,HLOOKUP(INDIRECT(ADDRESS(2,COLUMN())),OFFSET($BN$2,0,0,ROW()-1,60),ROW()-1,FALSE))</f>
        <v>0</v>
      </c>
      <c r="Y73">
        <f ca="1">IF(AND(ISNUMBER($Y$212),$B$145=1),$Y$212,HLOOKUP(INDIRECT(ADDRESS(2,COLUMN())),OFFSET($BN$2,0,0,ROW()-1,60),ROW()-1,FALSE))</f>
        <v>0</v>
      </c>
      <c r="Z73">
        <f ca="1">IF(AND(ISNUMBER($Z$212),$B$145=1),$Z$212,HLOOKUP(INDIRECT(ADDRESS(2,COLUMN())),OFFSET($BN$2,0,0,ROW()-1,60),ROW()-1,FALSE))</f>
        <v>0</v>
      </c>
      <c r="AA73">
        <f ca="1">IF(AND(ISNUMBER($AA$212),$B$145=1),$AA$212,HLOOKUP(INDIRECT(ADDRESS(2,COLUMN())),OFFSET($BN$2,0,0,ROW()-1,60),ROW()-1,FALSE))</f>
        <v>0</v>
      </c>
      <c r="AB73">
        <f ca="1">IF(AND(ISNUMBER($AB$212),$B$145=1),$AB$212,HLOOKUP(INDIRECT(ADDRESS(2,COLUMN())),OFFSET($BN$2,0,0,ROW()-1,60),ROW()-1,FALSE))</f>
        <v>0</v>
      </c>
      <c r="AC73">
        <f ca="1">IF(AND(ISNUMBER($AC$212),$B$145=1),$AC$212,HLOOKUP(INDIRECT(ADDRESS(2,COLUMN())),OFFSET($BN$2,0,0,ROW()-1,60),ROW()-1,FALSE))</f>
        <v>0</v>
      </c>
      <c r="AD73">
        <f ca="1">IF(AND(ISNUMBER($AD$212),$B$145=1),$AD$212,HLOOKUP(INDIRECT(ADDRESS(2,COLUMN())),OFFSET($BN$2,0,0,ROW()-1,60),ROW()-1,FALSE))</f>
        <v>0</v>
      </c>
      <c r="AE73">
        <f ca="1">IF(AND(ISNUMBER($AE$212),$B$145=1),$AE$212,HLOOKUP(INDIRECT(ADDRESS(2,COLUMN())),OFFSET($BN$2,0,0,ROW()-1,60),ROW()-1,FALSE))</f>
        <v>0</v>
      </c>
      <c r="AF73">
        <f ca="1">IF(AND(ISNUMBER($AF$212),$B$145=1),$AF$212,HLOOKUP(INDIRECT(ADDRESS(2,COLUMN())),OFFSET($BN$2,0,0,ROW()-1,60),ROW()-1,FALSE))</f>
        <v>0</v>
      </c>
      <c r="AG73">
        <f ca="1">IF(AND(ISNUMBER($AG$212),$B$145=1),$AG$212,HLOOKUP(INDIRECT(ADDRESS(2,COLUMN())),OFFSET($BN$2,0,0,ROW()-1,60),ROW()-1,FALSE))</f>
        <v>0</v>
      </c>
      <c r="AH73">
        <f ca="1">IF(AND(ISNUMBER($AH$212),$B$145=1),$AH$212,HLOOKUP(INDIRECT(ADDRESS(2,COLUMN())),OFFSET($BN$2,0,0,ROW()-1,60),ROW()-1,FALSE))</f>
        <v>0</v>
      </c>
      <c r="AI73">
        <f ca="1">IF(AND(ISNUMBER($AI$212),$B$145=1),$AI$212,HLOOKUP(INDIRECT(ADDRESS(2,COLUMN())),OFFSET($BN$2,0,0,ROW()-1,60),ROW()-1,FALSE))</f>
        <v>0</v>
      </c>
      <c r="AJ73">
        <f ca="1">IF(AND(ISNUMBER($AJ$212),$B$145=1),$AJ$212,HLOOKUP(INDIRECT(ADDRESS(2,COLUMN())),OFFSET($BN$2,0,0,ROW()-1,60),ROW()-1,FALSE))</f>
        <v>0</v>
      </c>
      <c r="AK73">
        <f ca="1">IF(AND(ISNUMBER($AK$212),$B$145=1),$AK$212,HLOOKUP(INDIRECT(ADDRESS(2,COLUMN())),OFFSET($BN$2,0,0,ROW()-1,60),ROW()-1,FALSE))</f>
        <v>0</v>
      </c>
      <c r="AL73">
        <f ca="1">IF(AND(ISNUMBER($AL$212),$B$145=1),$AL$212,HLOOKUP(INDIRECT(ADDRESS(2,COLUMN())),OFFSET($BN$2,0,0,ROW()-1,60),ROW()-1,FALSE))</f>
        <v>0</v>
      </c>
      <c r="AM73">
        <f ca="1">IF(AND(ISNUMBER($AM$212),$B$145=1),$AM$212,HLOOKUP(INDIRECT(ADDRESS(2,COLUMN())),OFFSET($BN$2,0,0,ROW()-1,60),ROW()-1,FALSE))</f>
        <v>0</v>
      </c>
      <c r="AN73">
        <f ca="1">IF(AND(ISNUMBER($AN$212),$B$145=1),$AN$212,HLOOKUP(INDIRECT(ADDRESS(2,COLUMN())),OFFSET($BN$2,0,0,ROW()-1,60),ROW()-1,FALSE))</f>
        <v>0</v>
      </c>
      <c r="AO73">
        <f ca="1">IF(AND(ISNUMBER($AO$212),$B$145=1),$AO$212,HLOOKUP(INDIRECT(ADDRESS(2,COLUMN())),OFFSET($BN$2,0,0,ROW()-1,60),ROW()-1,FALSE))</f>
        <v>0</v>
      </c>
      <c r="AP73">
        <f ca="1">IF(AND(ISNUMBER($AP$212),$B$145=1),$AP$212,HLOOKUP(INDIRECT(ADDRESS(2,COLUMN())),OFFSET($BN$2,0,0,ROW()-1,60),ROW()-1,FALSE))</f>
        <v>0</v>
      </c>
      <c r="AQ73">
        <f ca="1">IF(AND(ISNUMBER($AQ$212),$B$145=1),$AQ$212,HLOOKUP(INDIRECT(ADDRESS(2,COLUMN())),OFFSET($BN$2,0,0,ROW()-1,60),ROW()-1,FALSE))</f>
        <v>0</v>
      </c>
      <c r="AR73">
        <f ca="1">IF(AND(ISNUMBER($AR$212),$B$145=1),$AR$212,HLOOKUP(INDIRECT(ADDRESS(2,COLUMN())),OFFSET($BN$2,0,0,ROW()-1,60),ROW()-1,FALSE))</f>
        <v>0</v>
      </c>
      <c r="AS73">
        <f ca="1">IF(AND(ISNUMBER($AS$212),$B$145=1),$AS$212,HLOOKUP(INDIRECT(ADDRESS(2,COLUMN())),OFFSET($BN$2,0,0,ROW()-1,60),ROW()-1,FALSE))</f>
        <v>0</v>
      </c>
      <c r="AT73">
        <f ca="1">IF(AND(ISNUMBER($AT$212),$B$145=1),$AT$212,HLOOKUP(INDIRECT(ADDRESS(2,COLUMN())),OFFSET($BN$2,0,0,ROW()-1,60),ROW()-1,FALSE))</f>
        <v>0</v>
      </c>
      <c r="AU73">
        <f ca="1">IF(AND(ISNUMBER($AU$212),$B$145=1),$AU$212,HLOOKUP(INDIRECT(ADDRESS(2,COLUMN())),OFFSET($BN$2,0,0,ROW()-1,60),ROW()-1,FALSE))</f>
        <v>0</v>
      </c>
      <c r="AV73">
        <f ca="1">IF(AND(ISNUMBER($AV$212),$B$145=1),$AV$212,HLOOKUP(INDIRECT(ADDRESS(2,COLUMN())),OFFSET($BN$2,0,0,ROW()-1,60),ROW()-1,FALSE))</f>
        <v>0</v>
      </c>
      <c r="AW73">
        <f ca="1">IF(AND(ISNUMBER($AW$212),$B$145=1),$AW$212,HLOOKUP(INDIRECT(ADDRESS(2,COLUMN())),OFFSET($BN$2,0,0,ROW()-1,60),ROW()-1,FALSE))</f>
        <v>0</v>
      </c>
      <c r="AX73">
        <f ca="1">IF(AND(ISNUMBER($AX$212),$B$145=1),$AX$212,HLOOKUP(INDIRECT(ADDRESS(2,COLUMN())),OFFSET($BN$2,0,0,ROW()-1,60),ROW()-1,FALSE))</f>
        <v>0</v>
      </c>
      <c r="AY73">
        <f ca="1">IF(AND(ISNUMBER($AY$212),$B$145=1),$AY$212,HLOOKUP(INDIRECT(ADDRESS(2,COLUMN())),OFFSET($BN$2,0,0,ROW()-1,60),ROW()-1,FALSE))</f>
        <v>0</v>
      </c>
      <c r="AZ73">
        <f ca="1">IF(AND(ISNUMBER($AZ$212),$B$145=1),$AZ$212,HLOOKUP(INDIRECT(ADDRESS(2,COLUMN())),OFFSET($BN$2,0,0,ROW()-1,60),ROW()-1,FALSE))</f>
        <v>0</v>
      </c>
      <c r="BA73">
        <f ca="1">IF(AND(ISNUMBER($BA$212),$B$145=1),$BA$212,HLOOKUP(INDIRECT(ADDRESS(2,COLUMN())),OFFSET($BN$2,0,0,ROW()-1,60),ROW()-1,FALSE))</f>
        <v>0</v>
      </c>
      <c r="BB73">
        <f ca="1">IF(AND(ISNUMBER($BB$212),$B$145=1),$BB$212,HLOOKUP(INDIRECT(ADDRESS(2,COLUMN())),OFFSET($BN$2,0,0,ROW()-1,60),ROW()-1,FALSE))</f>
        <v>0</v>
      </c>
      <c r="BC73">
        <f ca="1">IF(AND(ISNUMBER($BC$212),$B$145=1),$BC$212,HLOOKUP(INDIRECT(ADDRESS(2,COLUMN())),OFFSET($BN$2,0,0,ROW()-1,60),ROW()-1,FALSE))</f>
        <v>0</v>
      </c>
      <c r="BD73">
        <f ca="1">IF(AND(ISNUMBER($BD$212),$B$145=1),$BD$212,HLOOKUP(INDIRECT(ADDRESS(2,COLUMN())),OFFSET($BN$2,0,0,ROW()-1,60),ROW()-1,FALSE))</f>
        <v>0</v>
      </c>
      <c r="BE73">
        <f ca="1">IF(AND(ISNUMBER($BE$212),$B$145=1),$BE$212,HLOOKUP(INDIRECT(ADDRESS(2,COLUMN())),OFFSET($BN$2,0,0,ROW()-1,60),ROW()-1,FALSE))</f>
        <v>0</v>
      </c>
      <c r="BF73">
        <f ca="1">IF(AND(ISNUMBER($BF$212),$B$145=1),$BF$212,HLOOKUP(INDIRECT(ADDRESS(2,COLUMN())),OFFSET($BN$2,0,0,ROW()-1,60),ROW()-1,FALSE))</f>
        <v>0</v>
      </c>
      <c r="BG73">
        <f ca="1">IF(AND(ISNUMBER($BG$212),$B$145=1),$BG$212,HLOOKUP(INDIRECT(ADDRESS(2,COLUMN())),OFFSET($BN$2,0,0,ROW()-1,60),ROW()-1,FALSE))</f>
        <v>0</v>
      </c>
      <c r="BH73">
        <f ca="1">IF(AND(ISNUMBER($BH$212),$B$145=1),$BH$212,HLOOKUP(INDIRECT(ADDRESS(2,COLUMN())),OFFSET($BN$2,0,0,ROW()-1,60),ROW()-1,FALSE))</f>
        <v>0</v>
      </c>
      <c r="BI73">
        <f ca="1">IF(AND(ISNUMBER($BI$212),$B$145=1),$BI$212,HLOOKUP(INDIRECT(ADDRESS(2,COLUMN())),OFFSET($BN$2,0,0,ROW()-1,60),ROW()-1,FALSE))</f>
        <v>0</v>
      </c>
      <c r="BJ73">
        <f ca="1">IF(AND(ISNUMBER($BJ$212),$B$145=1),$BJ$212,HLOOKUP(INDIRECT(ADDRESS(2,COLUMN())),OFFSET($BN$2,0,0,ROW()-1,60),ROW()-1,FALSE))</f>
        <v>0</v>
      </c>
      <c r="BK73">
        <f ca="1">IF(AND(ISNUMBER($BK$212),$B$145=1),$BK$212,HLOOKUP(INDIRECT(ADDRESS(2,COLUMN())),OFFSET($BN$2,0,0,ROW()-1,60),ROW()-1,FALSE))</f>
        <v>0</v>
      </c>
      <c r="BL73">
        <f ca="1">IF(AND(ISNUMBER($BL$212),$B$145=1),$BL$212,HLOOKUP(INDIRECT(ADDRESS(2,COLUMN())),OFFSET($BN$2,0,0,ROW()-1,60),ROW()-1,FALSE))</f>
        <v>0</v>
      </c>
      <c r="BM73" t="str">
        <f ca="1">IF(AND(ISNUMBER($BM$212),$B$145=1),$BM$212,HLOOKUP(INDIRECT(ADDRESS(2,COLUMN())),OFFSET($BN$2,0,0,ROW()-1,60),ROW()-1,FALSE))</f>
        <v/>
      </c>
      <c r="BN73">
        <f>0</f>
        <v>0</v>
      </c>
      <c r="BO73">
        <f>0</f>
        <v>0</v>
      </c>
      <c r="BP73">
        <f>0</f>
        <v>0</v>
      </c>
      <c r="BQ73">
        <f>0</f>
        <v>0</v>
      </c>
      <c r="BR73">
        <f>0</f>
        <v>0</v>
      </c>
      <c r="BS73">
        <f>0</f>
        <v>0</v>
      </c>
      <c r="BT73">
        <f>0</f>
        <v>0</v>
      </c>
      <c r="BU73">
        <f>0</f>
        <v>0</v>
      </c>
      <c r="BV73">
        <f>0</f>
        <v>0</v>
      </c>
      <c r="BW73">
        <f>0</f>
        <v>0</v>
      </c>
      <c r="BX73">
        <f>0</f>
        <v>0</v>
      </c>
      <c r="BY73">
        <f>0</f>
        <v>0</v>
      </c>
      <c r="BZ73">
        <f>0</f>
        <v>0</v>
      </c>
      <c r="CA73">
        <f>0</f>
        <v>0</v>
      </c>
      <c r="CB73">
        <f>0</f>
        <v>0</v>
      </c>
      <c r="CC73">
        <f>0</f>
        <v>0</v>
      </c>
      <c r="CD73">
        <f>0</f>
        <v>0</v>
      </c>
      <c r="CE73">
        <f>0</f>
        <v>0</v>
      </c>
      <c r="CF73">
        <f>0</f>
        <v>0</v>
      </c>
      <c r="CG73">
        <f>0</f>
        <v>0</v>
      </c>
      <c r="CH73">
        <f>0</f>
        <v>0</v>
      </c>
      <c r="CI73">
        <f>0</f>
        <v>0</v>
      </c>
      <c r="CJ73">
        <f>0</f>
        <v>0</v>
      </c>
      <c r="CK73">
        <f>0</f>
        <v>0</v>
      </c>
      <c r="CL73">
        <f>0</f>
        <v>0</v>
      </c>
      <c r="CM73">
        <f>0</f>
        <v>0</v>
      </c>
      <c r="CN73">
        <f>0</f>
        <v>0</v>
      </c>
      <c r="CO73">
        <f>0</f>
        <v>0</v>
      </c>
      <c r="CP73">
        <f>0</f>
        <v>0</v>
      </c>
      <c r="CQ73">
        <f>0</f>
        <v>0</v>
      </c>
      <c r="CR73">
        <f>0</f>
        <v>0</v>
      </c>
      <c r="CS73">
        <f>0</f>
        <v>0</v>
      </c>
      <c r="CT73">
        <f>0</f>
        <v>0</v>
      </c>
      <c r="CU73">
        <f>0</f>
        <v>0</v>
      </c>
      <c r="CV73">
        <f>0</f>
        <v>0</v>
      </c>
      <c r="CW73">
        <f>0</f>
        <v>0</v>
      </c>
      <c r="CX73">
        <f>0</f>
        <v>0</v>
      </c>
      <c r="CY73">
        <f>0</f>
        <v>0</v>
      </c>
      <c r="CZ73">
        <f>0</f>
        <v>0</v>
      </c>
      <c r="DA73">
        <f>0</f>
        <v>0</v>
      </c>
      <c r="DB73">
        <f>0</f>
        <v>0</v>
      </c>
      <c r="DC73">
        <f>0</f>
        <v>0</v>
      </c>
      <c r="DD73">
        <f>0</f>
        <v>0</v>
      </c>
      <c r="DE73">
        <f>0</f>
        <v>0</v>
      </c>
      <c r="DF73">
        <f>0</f>
        <v>0</v>
      </c>
      <c r="DG73">
        <f>0</f>
        <v>0</v>
      </c>
      <c r="DH73">
        <f>0</f>
        <v>0</v>
      </c>
      <c r="DI73">
        <f>0</f>
        <v>0</v>
      </c>
      <c r="DJ73">
        <f>0</f>
        <v>0</v>
      </c>
      <c r="DK73">
        <f>0</f>
        <v>0</v>
      </c>
      <c r="DL73">
        <f>0</f>
        <v>0</v>
      </c>
      <c r="DM73">
        <f>0</f>
        <v>0</v>
      </c>
      <c r="DN73">
        <f>0</f>
        <v>0</v>
      </c>
      <c r="DO73">
        <f>0</f>
        <v>0</v>
      </c>
      <c r="DP73">
        <f>0</f>
        <v>0</v>
      </c>
      <c r="DQ73">
        <f>0</f>
        <v>0</v>
      </c>
      <c r="DR73">
        <f>0</f>
        <v>0</v>
      </c>
      <c r="DS73">
        <f>0</f>
        <v>0</v>
      </c>
      <c r="DT73">
        <f>0</f>
        <v>0</v>
      </c>
      <c r="DU73" t="str">
        <f>""</f>
        <v/>
      </c>
    </row>
    <row r="74" spans="1:125" x14ac:dyDescent="0.25">
      <c r="A74" t="str">
        <f>"            Fifth Third Bancorp"</f>
        <v xml:space="preserve">            Fifth Third Bancorp</v>
      </c>
      <c r="B74" t="str">
        <f>"FITB US Equity"</f>
        <v>FITB US Equity</v>
      </c>
      <c r="C74" t="str">
        <f t="shared" si="9"/>
        <v>FC070</v>
      </c>
      <c r="D74" t="str">
        <f t="shared" si="10"/>
        <v>FDIC_TRADING_ACCT_ASSETS</v>
      </c>
      <c r="E74" t="str">
        <f t="shared" si="11"/>
        <v>Dynamic</v>
      </c>
      <c r="F74">
        <f ca="1">IF(AND(ISNUMBER($F$213),$B$145=1),$F$213,HLOOKUP(INDIRECT(ADDRESS(2,COLUMN())),OFFSET($BN$2,0,0,ROW()-1,60),ROW()-1,FALSE))</f>
        <v>3926</v>
      </c>
      <c r="G74">
        <f ca="1">IF(AND(ISNUMBER($G$213),$B$145=1),$G$213,HLOOKUP(INDIRECT(ADDRESS(2,COLUMN())),OFFSET($BN$2,0,0,ROW()-1,60),ROW()-1,FALSE))</f>
        <v>3638</v>
      </c>
      <c r="H74">
        <f ca="1">IF(AND(ISNUMBER($H$213),$B$145=1),$H$213,HLOOKUP(INDIRECT(ADDRESS(2,COLUMN())),OFFSET($BN$2,0,0,ROW()-1,60),ROW()-1,FALSE))</f>
        <v>4398</v>
      </c>
      <c r="I74">
        <f ca="1">IF(AND(ISNUMBER($I$213),$B$145=1),$I$213,HLOOKUP(INDIRECT(ADDRESS(2,COLUMN())),OFFSET($BN$2,0,0,ROW()-1,60),ROW()-1,FALSE))</f>
        <v>4234</v>
      </c>
      <c r="J74">
        <f ca="1">IF(AND(ISNUMBER($J$213),$B$145=1),$J$213,HLOOKUP(INDIRECT(ADDRESS(2,COLUMN())),OFFSET($BN$2,0,0,ROW()-1,60),ROW()-1,FALSE))</f>
        <v>4061</v>
      </c>
      <c r="K74">
        <f ca="1">IF(AND(ISNUMBER($K$213),$B$145=1),$K$213,HLOOKUP(INDIRECT(ADDRESS(2,COLUMN())),OFFSET($BN$2,0,0,ROW()-1,60),ROW()-1,FALSE))</f>
        <v>4657</v>
      </c>
      <c r="L74">
        <f ca="1">IF(AND(ISNUMBER($L$213),$B$145=1),$L$213,HLOOKUP(INDIRECT(ADDRESS(2,COLUMN())),OFFSET($BN$2,0,0,ROW()-1,60),ROW()-1,FALSE))</f>
        <v>4298</v>
      </c>
      <c r="M74">
        <f ca="1">IF(AND(ISNUMBER($M$213),$B$145=1),$M$213,HLOOKUP(INDIRECT(ADDRESS(2,COLUMN())),OFFSET($BN$2,0,0,ROW()-1,60),ROW()-1,FALSE))</f>
        <v>3964</v>
      </c>
      <c r="N74">
        <f ca="1">IF(AND(ISNUMBER($N$213),$B$145=1),$N$213,HLOOKUP(INDIRECT(ADDRESS(2,COLUMN())),OFFSET($BN$2,0,0,ROW()-1,60),ROW()-1,FALSE))</f>
        <v>3572.4949999999999</v>
      </c>
      <c r="O74">
        <f ca="1">IF(AND(ISNUMBER($O$213),$B$145=1),$O$213,HLOOKUP(INDIRECT(ADDRESS(2,COLUMN())),OFFSET($BN$2,0,0,ROW()-1,60),ROW()-1,FALSE))</f>
        <v>4702.4049999999997</v>
      </c>
      <c r="P74">
        <f ca="1">IF(AND(ISNUMBER($P$213),$B$145=1),$P$213,HLOOKUP(INDIRECT(ADDRESS(2,COLUMN())),OFFSET($BN$2,0,0,ROW()-1,60),ROW()-1,FALSE))</f>
        <v>4366.3890000000001</v>
      </c>
      <c r="Q74">
        <f ca="1">IF(AND(ISNUMBER($Q$213),$B$145=1),$Q$213,HLOOKUP(INDIRECT(ADDRESS(2,COLUMN())),OFFSET($BN$2,0,0,ROW()-1,60),ROW()-1,FALSE))</f>
        <v>4437.9480000000003</v>
      </c>
      <c r="R74">
        <f ca="1">IF(AND(ISNUMBER($R$213),$B$145=1),$R$213,HLOOKUP(INDIRECT(ADDRESS(2,COLUMN())),OFFSET($BN$2,0,0,ROW()-1,60),ROW()-1,FALSE))</f>
        <v>3016.2</v>
      </c>
      <c r="S74">
        <f ca="1">IF(AND(ISNUMBER($S$213),$B$145=1),$S$213,HLOOKUP(INDIRECT(ADDRESS(2,COLUMN())),OFFSET($BN$2,0,0,ROW()-1,60),ROW()-1,FALSE))</f>
        <v>4132.8180000000002</v>
      </c>
      <c r="T74">
        <f ca="1">IF(AND(ISNUMBER($T$213),$B$145=1),$T$213,HLOOKUP(INDIRECT(ADDRESS(2,COLUMN())),OFFSET($BN$2,0,0,ROW()-1,60),ROW()-1,FALSE))</f>
        <v>3406.098</v>
      </c>
      <c r="U74">
        <f ca="1">IF(AND(ISNUMBER($U$213),$B$145=1),$U$213,HLOOKUP(INDIRECT(ADDRESS(2,COLUMN())),OFFSET($BN$2,0,0,ROW()-1,60),ROW()-1,FALSE))</f>
        <v>2695.3009999999999</v>
      </c>
      <c r="V74">
        <f ca="1">IF(AND(ISNUMBER($V$213),$B$145=1),$V$213,HLOOKUP(INDIRECT(ADDRESS(2,COLUMN())),OFFSET($BN$2,0,0,ROW()-1,60),ROW()-1,FALSE))</f>
        <v>2700.4369999999999</v>
      </c>
      <c r="W74">
        <f ca="1">IF(AND(ISNUMBER($W$213),$B$145=1),$W$213,HLOOKUP(INDIRECT(ADDRESS(2,COLUMN())),OFFSET($BN$2,0,0,ROW()-1,60),ROW()-1,FALSE))</f>
        <v>3029.2950000000001</v>
      </c>
      <c r="X74">
        <f ca="1">IF(AND(ISNUMBER($X$213),$B$145=1),$X$213,HLOOKUP(INDIRECT(ADDRESS(2,COLUMN())),OFFSET($BN$2,0,0,ROW()-1,60),ROW()-1,FALSE))</f>
        <v>3118.5439999999999</v>
      </c>
      <c r="Y74">
        <f ca="1">IF(AND(ISNUMBER($Y$213),$B$145=1),$Y$213,HLOOKUP(INDIRECT(ADDRESS(2,COLUMN())),OFFSET($BN$2,0,0,ROW()-1,60),ROW()-1,FALSE))</f>
        <v>3725.8040000000001</v>
      </c>
      <c r="Z74">
        <f ca="1">IF(AND(ISNUMBER($Z$213),$B$145=1),$Z$213,HLOOKUP(INDIRECT(ADDRESS(2,COLUMN())),OFFSET($BN$2,0,0,ROW()-1,60),ROW()-1,FALSE))</f>
        <v>1807.34</v>
      </c>
      <c r="AA74">
        <f ca="1">IF(AND(ISNUMBER($AA$213),$B$145=1),$AA$213,HLOOKUP(INDIRECT(ADDRESS(2,COLUMN())),OFFSET($BN$2,0,0,ROW()-1,60),ROW()-1,FALSE))</f>
        <v>1970.001</v>
      </c>
      <c r="AB74">
        <f ca="1">IF(AND(ISNUMBER($AB$213),$B$145=1),$AB$213,HLOOKUP(INDIRECT(ADDRESS(2,COLUMN())),OFFSET($BN$2,0,0,ROW()-1,60),ROW()-1,FALSE))</f>
        <v>1769.8920000000001</v>
      </c>
      <c r="AC74">
        <f ca="1">IF(AND(ISNUMBER($AC$213),$B$145=1),$AC$213,HLOOKUP(INDIRECT(ADDRESS(2,COLUMN())),OFFSET($BN$2,0,0,ROW()-1,60),ROW()-1,FALSE))</f>
        <v>1353.6679999999999</v>
      </c>
      <c r="AD74">
        <f ca="1">IF(AND(ISNUMBER($AD$213),$B$145=1),$AD$213,HLOOKUP(INDIRECT(ADDRESS(2,COLUMN())),OFFSET($BN$2,0,0,ROW()-1,60),ROW()-1,FALSE))</f>
        <v>1385.098</v>
      </c>
      <c r="AE74">
        <f ca="1">IF(AND(ISNUMBER($AE$213),$B$145=1),$AE$213,HLOOKUP(INDIRECT(ADDRESS(2,COLUMN())),OFFSET($BN$2,0,0,ROW()-1,60),ROW()-1,FALSE))</f>
        <v>1390.6110000000001</v>
      </c>
      <c r="AF74">
        <f ca="1">IF(AND(ISNUMBER($AF$213),$B$145=1),$AF$213,HLOOKUP(INDIRECT(ADDRESS(2,COLUMN())),OFFSET($BN$2,0,0,ROW()-1,60),ROW()-1,FALSE))</f>
        <v>1307.8230000000001</v>
      </c>
      <c r="AG74">
        <f ca="1">IF(AND(ISNUMBER($AG$213),$B$145=1),$AG$213,HLOOKUP(INDIRECT(ADDRESS(2,COLUMN())),OFFSET($BN$2,0,0,ROW()-1,60),ROW()-1,FALSE))</f>
        <v>1502.4870000000001</v>
      </c>
      <c r="AH74">
        <f ca="1">IF(AND(ISNUMBER($AH$213),$B$145=1),$AH$213,HLOOKUP(INDIRECT(ADDRESS(2,COLUMN())),OFFSET($BN$2,0,0,ROW()-1,60),ROW()-1,FALSE))</f>
        <v>1312.3340000000001</v>
      </c>
      <c r="AI74">
        <f ca="1">IF(AND(ISNUMBER($AI$213),$B$145=1),$AI$213,HLOOKUP(INDIRECT(ADDRESS(2,COLUMN())),OFFSET($BN$2,0,0,ROW()-1,60),ROW()-1,FALSE))</f>
        <v>1233.627</v>
      </c>
      <c r="AJ74">
        <f ca="1">IF(AND(ISNUMBER($AJ$213),$B$145=1),$AJ$213,HLOOKUP(INDIRECT(ADDRESS(2,COLUMN())),OFFSET($BN$2,0,0,ROW()-1,60),ROW()-1,FALSE))</f>
        <v>1243.751</v>
      </c>
      <c r="AK74">
        <f ca="1">IF(AND(ISNUMBER($AK$213),$B$145=1),$AK$213,HLOOKUP(INDIRECT(ADDRESS(2,COLUMN())),OFFSET($BN$2,0,0,ROW()-1,60),ROW()-1,FALSE))</f>
        <v>1100.202</v>
      </c>
      <c r="AL74">
        <f ca="1">IF(AND(ISNUMBER($AL$213),$B$145=1),$AL$213,HLOOKUP(INDIRECT(ADDRESS(2,COLUMN())),OFFSET($BN$2,0,0,ROW()-1,60),ROW()-1,FALSE))</f>
        <v>936.13199999999995</v>
      </c>
      <c r="AM74">
        <f ca="1">IF(AND(ISNUMBER($AM$213),$B$145=1),$AM$213,HLOOKUP(INDIRECT(ADDRESS(2,COLUMN())),OFFSET($BN$2,0,0,ROW()-1,60),ROW()-1,FALSE))</f>
        <v>1108.4570000000001</v>
      </c>
      <c r="AN74">
        <f ca="1">IF(AND(ISNUMBER($AN$213),$B$145=1),$AN$213,HLOOKUP(INDIRECT(ADDRESS(2,COLUMN())),OFFSET($BN$2,0,0,ROW()-1,60),ROW()-1,FALSE))</f>
        <v>1255.261</v>
      </c>
      <c r="AO74">
        <f ca="1">IF(AND(ISNUMBER($AO$213),$B$145=1),$AO$213,HLOOKUP(INDIRECT(ADDRESS(2,COLUMN())),OFFSET($BN$2,0,0,ROW()-1,60),ROW()-1,FALSE))</f>
        <v>1307.7940000000001</v>
      </c>
      <c r="AP74">
        <f ca="1">IF(AND(ISNUMBER($AP$213),$B$145=1),$AP$213,HLOOKUP(INDIRECT(ADDRESS(2,COLUMN())),OFFSET($BN$2,0,0,ROW()-1,60),ROW()-1,FALSE))</f>
        <v>1323.8140000000001</v>
      </c>
      <c r="AQ74">
        <f ca="1">IF(AND(ISNUMBER($AQ$213),$B$145=1),$AQ$213,HLOOKUP(INDIRECT(ADDRESS(2,COLUMN())),OFFSET($BN$2,0,0,ROW()-1,60),ROW()-1,FALSE))</f>
        <v>1493.067</v>
      </c>
      <c r="AR74">
        <f ca="1">IF(AND(ISNUMBER($AR$213),$B$145=1),$AR$213,HLOOKUP(INDIRECT(ADDRESS(2,COLUMN())),OFFSET($BN$2,0,0,ROW()-1,60),ROW()-1,FALSE))</f>
        <v>1379.223</v>
      </c>
      <c r="AS74">
        <f ca="1">IF(AND(ISNUMBER($AS$213),$B$145=1),$AS$213,HLOOKUP(INDIRECT(ADDRESS(2,COLUMN())),OFFSET($BN$2,0,0,ROW()-1,60),ROW()-1,FALSE))</f>
        <v>1649.7719999999999</v>
      </c>
      <c r="AT74">
        <f ca="1">IF(AND(ISNUMBER($AT$213),$B$145=1),$AT$213,HLOOKUP(INDIRECT(ADDRESS(2,COLUMN())),OFFSET($BN$2,0,0,ROW()-1,60),ROW()-1,FALSE))</f>
        <v>1407.8420000000001</v>
      </c>
      <c r="AU74">
        <f ca="1">IF(AND(ISNUMBER($AU$213),$B$145=1),$AU$213,HLOOKUP(INDIRECT(ADDRESS(2,COLUMN())),OFFSET($BN$2,0,0,ROW()-1,60),ROW()-1,FALSE))</f>
        <v>1049.819</v>
      </c>
      <c r="AV74">
        <f ca="1">IF(AND(ISNUMBER($AV$213),$B$145=1),$AV$213,HLOOKUP(INDIRECT(ADDRESS(2,COLUMN())),OFFSET($BN$2,0,0,ROW()-1,60),ROW()-1,FALSE))</f>
        <v>953.18799999999999</v>
      </c>
      <c r="AW74">
        <f ca="1">IF(AND(ISNUMBER($AW$213),$B$145=1),$AW$213,HLOOKUP(INDIRECT(ADDRESS(2,COLUMN())),OFFSET($BN$2,0,0,ROW()-1,60),ROW()-1,FALSE))</f>
        <v>938.28499999999997</v>
      </c>
      <c r="AX74">
        <f ca="1">IF(AND(ISNUMBER($AX$213),$B$145=1),$AX$213,HLOOKUP(INDIRECT(ADDRESS(2,COLUMN())),OFFSET($BN$2,0,0,ROW()-1,60),ROW()-1,FALSE))</f>
        <v>1026.2729999999999</v>
      </c>
      <c r="AY74">
        <f ca="1">IF(AND(ISNUMBER($AY$213),$B$145=1),$AY$213,HLOOKUP(INDIRECT(ADDRESS(2,COLUMN())),OFFSET($BN$2,0,0,ROW()-1,60),ROW()-1,FALSE))</f>
        <v>989.755</v>
      </c>
      <c r="AZ74">
        <f ca="1">IF(AND(ISNUMBER($AZ$213),$B$145=1),$AZ$213,HLOOKUP(INDIRECT(ADDRESS(2,COLUMN())),OFFSET($BN$2,0,0,ROW()-1,60),ROW()-1,FALSE))</f>
        <v>1001.646</v>
      </c>
      <c r="BA74">
        <f ca="1">IF(AND(ISNUMBER($BA$213),$B$145=1),$BA$213,HLOOKUP(INDIRECT(ADDRESS(2,COLUMN())),OFFSET($BN$2,0,0,ROW()-1,60),ROW()-1,FALSE))</f>
        <v>1097.5609999999999</v>
      </c>
      <c r="BB74">
        <f ca="1">IF(AND(ISNUMBER($BB$213),$B$145=1),$BB$213,HLOOKUP(INDIRECT(ADDRESS(2,COLUMN())),OFFSET($BN$2,0,0,ROW()-1,60),ROW()-1,FALSE))</f>
        <v>1140.673</v>
      </c>
      <c r="BC74">
        <f ca="1">IF(AND(ISNUMBER($BC$213),$B$145=1),$BC$213,HLOOKUP(INDIRECT(ADDRESS(2,COLUMN())),OFFSET($BN$2,0,0,ROW()-1,60),ROW()-1,FALSE))</f>
        <v>1262.1079999999999</v>
      </c>
      <c r="BD74">
        <f ca="1">IF(AND(ISNUMBER($BD$213),$B$145=1),$BD$213,HLOOKUP(INDIRECT(ADDRESS(2,COLUMN())),OFFSET($BN$2,0,0,ROW()-1,60),ROW()-1,FALSE))</f>
        <v>1282.5650000000001</v>
      </c>
      <c r="BE74">
        <f ca="1">IF(AND(ISNUMBER($BE$213),$B$145=1),$BE$213,HLOOKUP(INDIRECT(ADDRESS(2,COLUMN())),OFFSET($BN$2,0,0,ROW()-1,60),ROW()-1,FALSE))</f>
        <v>1216.069</v>
      </c>
      <c r="BF74">
        <f ca="1">IF(AND(ISNUMBER($BF$213),$B$145=1),$BF$213,HLOOKUP(INDIRECT(ADDRESS(2,COLUMN())),OFFSET($BN$2,0,0,ROW()-1,60),ROW()-1,FALSE))</f>
        <v>1411.671</v>
      </c>
      <c r="BG74">
        <f ca="1">IF(AND(ISNUMBER($BG$213),$B$145=1),$BG$213,HLOOKUP(INDIRECT(ADDRESS(2,COLUMN())),OFFSET($BN$2,0,0,ROW()-1,60),ROW()-1,FALSE))</f>
        <v>1637.567</v>
      </c>
      <c r="BH74">
        <f ca="1">IF(AND(ISNUMBER($BH$213),$B$145=1),$BH$213,HLOOKUP(INDIRECT(ADDRESS(2,COLUMN())),OFFSET($BN$2,0,0,ROW()-1,60),ROW()-1,FALSE))</f>
        <v>1278.914</v>
      </c>
      <c r="BI74">
        <f ca="1">IF(AND(ISNUMBER($BI$213),$B$145=1),$BI$213,HLOOKUP(INDIRECT(ADDRESS(2,COLUMN())),OFFSET($BN$2,0,0,ROW()-1,60),ROW()-1,FALSE))</f>
        <v>1292.895</v>
      </c>
      <c r="BJ74">
        <f ca="1">IF(AND(ISNUMBER($BJ$213),$B$145=1),$BJ$213,HLOOKUP(INDIRECT(ADDRESS(2,COLUMN())),OFFSET($BN$2,0,0,ROW()-1,60),ROW()-1,FALSE))</f>
        <v>1446.9179999999999</v>
      </c>
      <c r="BK74">
        <f ca="1">IF(AND(ISNUMBER($BK$213),$B$145=1),$BK$213,HLOOKUP(INDIRECT(ADDRESS(2,COLUMN())),OFFSET($BN$2,0,0,ROW()-1,60),ROW()-1,FALSE))</f>
        <v>1650.2439999999999</v>
      </c>
      <c r="BL74">
        <f ca="1">IF(AND(ISNUMBER($BL$213),$B$145=1),$BL$213,HLOOKUP(INDIRECT(ADDRESS(2,COLUMN())),OFFSET($BN$2,0,0,ROW()-1,60),ROW()-1,FALSE))</f>
        <v>1508.537</v>
      </c>
      <c r="BM74" t="str">
        <f ca="1">IF(AND(ISNUMBER($BM$213),$B$145=1),$BM$213,HLOOKUP(INDIRECT(ADDRESS(2,COLUMN())),OFFSET($BN$2,0,0,ROW()-1,60),ROW()-1,FALSE))</f>
        <v/>
      </c>
      <c r="BN74">
        <f>3926</f>
        <v>3926</v>
      </c>
      <c r="BO74">
        <f>3638</f>
        <v>3638</v>
      </c>
      <c r="BP74">
        <f>4398</f>
        <v>4398</v>
      </c>
      <c r="BQ74">
        <f>4234</f>
        <v>4234</v>
      </c>
      <c r="BR74">
        <f>4061</f>
        <v>4061</v>
      </c>
      <c r="BS74">
        <f>4657</f>
        <v>4657</v>
      </c>
      <c r="BT74">
        <f>4298</f>
        <v>4298</v>
      </c>
      <c r="BU74">
        <f>3964</f>
        <v>3964</v>
      </c>
      <c r="BV74">
        <f>3572.495</f>
        <v>3572.4949999999999</v>
      </c>
      <c r="BW74">
        <f>4702.405</f>
        <v>4702.4049999999997</v>
      </c>
      <c r="BX74">
        <f>4366.389</f>
        <v>4366.3890000000001</v>
      </c>
      <c r="BY74">
        <f>4437.948</f>
        <v>4437.9480000000003</v>
      </c>
      <c r="BZ74">
        <f>3016.2</f>
        <v>3016.2</v>
      </c>
      <c r="CA74">
        <f>4132.818</f>
        <v>4132.8180000000002</v>
      </c>
      <c r="CB74">
        <f>3406.098</f>
        <v>3406.098</v>
      </c>
      <c r="CC74">
        <f>2695.301</f>
        <v>2695.3009999999999</v>
      </c>
      <c r="CD74">
        <f>2700.437</f>
        <v>2700.4369999999999</v>
      </c>
      <c r="CE74">
        <f>3029.295</f>
        <v>3029.2950000000001</v>
      </c>
      <c r="CF74">
        <f>3118.544</f>
        <v>3118.5439999999999</v>
      </c>
      <c r="CG74">
        <f>3725.804</f>
        <v>3725.8040000000001</v>
      </c>
      <c r="CH74">
        <f>1807.34</f>
        <v>1807.34</v>
      </c>
      <c r="CI74">
        <f>1970.001</f>
        <v>1970.001</v>
      </c>
      <c r="CJ74">
        <f>1769.892</f>
        <v>1769.8920000000001</v>
      </c>
      <c r="CK74">
        <f>1353.668</f>
        <v>1353.6679999999999</v>
      </c>
      <c r="CL74">
        <f>1385.098</f>
        <v>1385.098</v>
      </c>
      <c r="CM74">
        <f>1390.611</f>
        <v>1390.6110000000001</v>
      </c>
      <c r="CN74">
        <f>1307.823</f>
        <v>1307.8230000000001</v>
      </c>
      <c r="CO74">
        <f>1502.487</f>
        <v>1502.4870000000001</v>
      </c>
      <c r="CP74">
        <f>1312.334</f>
        <v>1312.3340000000001</v>
      </c>
      <c r="CQ74">
        <f>1233.627</f>
        <v>1233.627</v>
      </c>
      <c r="CR74">
        <f>1243.751</f>
        <v>1243.751</v>
      </c>
      <c r="CS74">
        <f>1100.202</f>
        <v>1100.202</v>
      </c>
      <c r="CT74">
        <f>936.132</f>
        <v>936.13199999999995</v>
      </c>
      <c r="CU74">
        <f>1108.457</f>
        <v>1108.4570000000001</v>
      </c>
      <c r="CV74">
        <f>1255.261</f>
        <v>1255.261</v>
      </c>
      <c r="CW74">
        <f>1307.794</f>
        <v>1307.7940000000001</v>
      </c>
      <c r="CX74">
        <f>1323.814</f>
        <v>1323.8140000000001</v>
      </c>
      <c r="CY74">
        <f>1493.067</f>
        <v>1493.067</v>
      </c>
      <c r="CZ74">
        <f>1379.223</f>
        <v>1379.223</v>
      </c>
      <c r="DA74">
        <f>1649.772</f>
        <v>1649.7719999999999</v>
      </c>
      <c r="DB74">
        <f>1407.842</f>
        <v>1407.8420000000001</v>
      </c>
      <c r="DC74">
        <f>1049.819</f>
        <v>1049.819</v>
      </c>
      <c r="DD74">
        <f>953.188</f>
        <v>953.18799999999999</v>
      </c>
      <c r="DE74">
        <f>938.285</f>
        <v>938.28499999999997</v>
      </c>
      <c r="DF74">
        <f>1026.273</f>
        <v>1026.2729999999999</v>
      </c>
      <c r="DG74">
        <f>989.755</f>
        <v>989.755</v>
      </c>
      <c r="DH74">
        <f>1001.646</f>
        <v>1001.646</v>
      </c>
      <c r="DI74">
        <f>1097.561</f>
        <v>1097.5609999999999</v>
      </c>
      <c r="DJ74">
        <f>1140.673</f>
        <v>1140.673</v>
      </c>
      <c r="DK74">
        <f>1262.108</f>
        <v>1262.1079999999999</v>
      </c>
      <c r="DL74">
        <f>1282.565</f>
        <v>1282.5650000000001</v>
      </c>
      <c r="DM74">
        <f>1216.069</f>
        <v>1216.069</v>
      </c>
      <c r="DN74">
        <f>1411.671</f>
        <v>1411.671</v>
      </c>
      <c r="DO74">
        <f>1637.567</f>
        <v>1637.567</v>
      </c>
      <c r="DP74">
        <f>1278.914</f>
        <v>1278.914</v>
      </c>
      <c r="DQ74">
        <f>1292.895</f>
        <v>1292.895</v>
      </c>
      <c r="DR74">
        <f>1446.918</f>
        <v>1446.9179999999999</v>
      </c>
      <c r="DS74">
        <f>1650.244</f>
        <v>1650.2439999999999</v>
      </c>
      <c r="DT74">
        <f>1508.537</f>
        <v>1508.537</v>
      </c>
      <c r="DU74" t="str">
        <f>""</f>
        <v/>
      </c>
    </row>
    <row r="75" spans="1:125" x14ac:dyDescent="0.25">
      <c r="A75" t="str">
        <f>"            First Citizens BancShares Inc/"</f>
        <v xml:space="preserve">            First Citizens BancShares Inc/</v>
      </c>
      <c r="B75" t="str">
        <f>"FCNCA US Equity"</f>
        <v>FCNCA US Equity</v>
      </c>
      <c r="C75" t="str">
        <f t="shared" si="9"/>
        <v>FC070</v>
      </c>
      <c r="D75" t="str">
        <f t="shared" si="10"/>
        <v>FDIC_TRADING_ACCT_ASSETS</v>
      </c>
      <c r="E75" t="str">
        <f t="shared" si="11"/>
        <v>Dynamic</v>
      </c>
      <c r="F75">
        <f ca="1">IF(AND(ISNUMBER($F$214),$B$145=1),$F$214,HLOOKUP(INDIRECT(ADDRESS(2,COLUMN())),OFFSET($BN$2,0,0,ROW()-1,60),ROW()-1,FALSE))</f>
        <v>0</v>
      </c>
      <c r="G75">
        <f ca="1">IF(AND(ISNUMBER($G$214),$B$145=1),$G$214,HLOOKUP(INDIRECT(ADDRESS(2,COLUMN())),OFFSET($BN$2,0,0,ROW()-1,60),ROW()-1,FALSE))</f>
        <v>0</v>
      </c>
      <c r="H75">
        <f ca="1">IF(AND(ISNUMBER($H$214),$B$145=1),$H$214,HLOOKUP(INDIRECT(ADDRESS(2,COLUMN())),OFFSET($BN$2,0,0,ROW()-1,60),ROW()-1,FALSE))</f>
        <v>0</v>
      </c>
      <c r="I75">
        <f ca="1">IF(AND(ISNUMBER($I$214),$B$145=1),$I$214,HLOOKUP(INDIRECT(ADDRESS(2,COLUMN())),OFFSET($BN$2,0,0,ROW()-1,60),ROW()-1,FALSE))</f>
        <v>0</v>
      </c>
      <c r="J75">
        <f ca="1">IF(AND(ISNUMBER($J$214),$B$145=1),$J$214,HLOOKUP(INDIRECT(ADDRESS(2,COLUMN())),OFFSET($BN$2,0,0,ROW()-1,60),ROW()-1,FALSE))</f>
        <v>0</v>
      </c>
      <c r="K75">
        <f ca="1">IF(AND(ISNUMBER($K$214),$B$145=1),$K$214,HLOOKUP(INDIRECT(ADDRESS(2,COLUMN())),OFFSET($BN$2,0,0,ROW()-1,60),ROW()-1,FALSE))</f>
        <v>0</v>
      </c>
      <c r="L75">
        <f ca="1">IF(AND(ISNUMBER($L$214),$B$145=1),$L$214,HLOOKUP(INDIRECT(ADDRESS(2,COLUMN())),OFFSET($BN$2,0,0,ROW()-1,60),ROW()-1,FALSE))</f>
        <v>0</v>
      </c>
      <c r="M75">
        <f ca="1">IF(AND(ISNUMBER($M$214),$B$145=1),$M$214,HLOOKUP(INDIRECT(ADDRESS(2,COLUMN())),OFFSET($BN$2,0,0,ROW()-1,60),ROW()-1,FALSE))</f>
        <v>0</v>
      </c>
      <c r="N75">
        <f ca="1">IF(AND(ISNUMBER($N$214),$B$145=1),$N$214,HLOOKUP(INDIRECT(ADDRESS(2,COLUMN())),OFFSET($BN$2,0,0,ROW()-1,60),ROW()-1,FALSE))</f>
        <v>0</v>
      </c>
      <c r="O75">
        <f ca="1">IF(AND(ISNUMBER($O$214),$B$145=1),$O$214,HLOOKUP(INDIRECT(ADDRESS(2,COLUMN())),OFFSET($BN$2,0,0,ROW()-1,60),ROW()-1,FALSE))</f>
        <v>0</v>
      </c>
      <c r="P75">
        <f ca="1">IF(AND(ISNUMBER($P$214),$B$145=1),$P$214,HLOOKUP(INDIRECT(ADDRESS(2,COLUMN())),OFFSET($BN$2,0,0,ROW()-1,60),ROW()-1,FALSE))</f>
        <v>0</v>
      </c>
      <c r="Q75">
        <f ca="1">IF(AND(ISNUMBER($Q$214),$B$145=1),$Q$214,HLOOKUP(INDIRECT(ADDRESS(2,COLUMN())),OFFSET($BN$2,0,0,ROW()-1,60),ROW()-1,FALSE))</f>
        <v>0</v>
      </c>
      <c r="R75">
        <f ca="1">IF(AND(ISNUMBER($R$214),$B$145=1),$R$214,HLOOKUP(INDIRECT(ADDRESS(2,COLUMN())),OFFSET($BN$2,0,0,ROW()-1,60),ROW()-1,FALSE))</f>
        <v>0</v>
      </c>
      <c r="S75">
        <f ca="1">IF(AND(ISNUMBER($S$214),$B$145=1),$S$214,HLOOKUP(INDIRECT(ADDRESS(2,COLUMN())),OFFSET($BN$2,0,0,ROW()-1,60),ROW()-1,FALSE))</f>
        <v>0</v>
      </c>
      <c r="T75">
        <f ca="1">IF(AND(ISNUMBER($T$214),$B$145=1),$T$214,HLOOKUP(INDIRECT(ADDRESS(2,COLUMN())),OFFSET($BN$2,0,0,ROW()-1,60),ROW()-1,FALSE))</f>
        <v>0</v>
      </c>
      <c r="U75">
        <f ca="1">IF(AND(ISNUMBER($U$214),$B$145=1),$U$214,HLOOKUP(INDIRECT(ADDRESS(2,COLUMN())),OFFSET($BN$2,0,0,ROW()-1,60),ROW()-1,FALSE))</f>
        <v>0</v>
      </c>
      <c r="V75">
        <f ca="1">IF(AND(ISNUMBER($V$214),$B$145=1),$V$214,HLOOKUP(INDIRECT(ADDRESS(2,COLUMN())),OFFSET($BN$2,0,0,ROW()-1,60),ROW()-1,FALSE))</f>
        <v>0</v>
      </c>
      <c r="W75">
        <f ca="1">IF(AND(ISNUMBER($W$214),$B$145=1),$W$214,HLOOKUP(INDIRECT(ADDRESS(2,COLUMN())),OFFSET($BN$2,0,0,ROW()-1,60),ROW()-1,FALSE))</f>
        <v>0</v>
      </c>
      <c r="X75">
        <f ca="1">IF(AND(ISNUMBER($X$214),$B$145=1),$X$214,HLOOKUP(INDIRECT(ADDRESS(2,COLUMN())),OFFSET($BN$2,0,0,ROW()-1,60),ROW()-1,FALSE))</f>
        <v>0</v>
      </c>
      <c r="Y75">
        <f ca="1">IF(AND(ISNUMBER($Y$214),$B$145=1),$Y$214,HLOOKUP(INDIRECT(ADDRESS(2,COLUMN())),OFFSET($BN$2,0,0,ROW()-1,60),ROW()-1,FALSE))</f>
        <v>0</v>
      </c>
      <c r="Z75">
        <f ca="1">IF(AND(ISNUMBER($Z$214),$B$145=1),$Z$214,HLOOKUP(INDIRECT(ADDRESS(2,COLUMN())),OFFSET($BN$2,0,0,ROW()-1,60),ROW()-1,FALSE))</f>
        <v>0</v>
      </c>
      <c r="AA75">
        <f ca="1">IF(AND(ISNUMBER($AA$214),$B$145=1),$AA$214,HLOOKUP(INDIRECT(ADDRESS(2,COLUMN())),OFFSET($BN$2,0,0,ROW()-1,60),ROW()-1,FALSE))</f>
        <v>0</v>
      </c>
      <c r="AB75">
        <f ca="1">IF(AND(ISNUMBER($AB$214),$B$145=1),$AB$214,HLOOKUP(INDIRECT(ADDRESS(2,COLUMN())),OFFSET($BN$2,0,0,ROW()-1,60),ROW()-1,FALSE))</f>
        <v>0</v>
      </c>
      <c r="AC75">
        <f ca="1">IF(AND(ISNUMBER($AC$214),$B$145=1),$AC$214,HLOOKUP(INDIRECT(ADDRESS(2,COLUMN())),OFFSET($BN$2,0,0,ROW()-1,60),ROW()-1,FALSE))</f>
        <v>0</v>
      </c>
      <c r="AD75">
        <f ca="1">IF(AND(ISNUMBER($AD$214),$B$145=1),$AD$214,HLOOKUP(INDIRECT(ADDRESS(2,COLUMN())),OFFSET($BN$2,0,0,ROW()-1,60),ROW()-1,FALSE))</f>
        <v>0</v>
      </c>
      <c r="AE75">
        <f ca="1">IF(AND(ISNUMBER($AE$214),$B$145=1),$AE$214,HLOOKUP(INDIRECT(ADDRESS(2,COLUMN())),OFFSET($BN$2,0,0,ROW()-1,60),ROW()-1,FALSE))</f>
        <v>0</v>
      </c>
      <c r="AF75">
        <f ca="1">IF(AND(ISNUMBER($AF$214),$B$145=1),$AF$214,HLOOKUP(INDIRECT(ADDRESS(2,COLUMN())),OFFSET($BN$2,0,0,ROW()-1,60),ROW()-1,FALSE))</f>
        <v>0</v>
      </c>
      <c r="AG75">
        <f ca="1">IF(AND(ISNUMBER($AG$214),$B$145=1),$AG$214,HLOOKUP(INDIRECT(ADDRESS(2,COLUMN())),OFFSET($BN$2,0,0,ROW()-1,60),ROW()-1,FALSE))</f>
        <v>0</v>
      </c>
      <c r="AH75">
        <f ca="1">IF(AND(ISNUMBER($AH$214),$B$145=1),$AH$214,HLOOKUP(INDIRECT(ADDRESS(2,COLUMN())),OFFSET($BN$2,0,0,ROW()-1,60),ROW()-1,FALSE))</f>
        <v>0</v>
      </c>
      <c r="AI75">
        <f ca="1">IF(AND(ISNUMBER($AI$214),$B$145=1),$AI$214,HLOOKUP(INDIRECT(ADDRESS(2,COLUMN())),OFFSET($BN$2,0,0,ROW()-1,60),ROW()-1,FALSE))</f>
        <v>0</v>
      </c>
      <c r="AJ75">
        <f ca="1">IF(AND(ISNUMBER($AJ$214),$B$145=1),$AJ$214,HLOOKUP(INDIRECT(ADDRESS(2,COLUMN())),OFFSET($BN$2,0,0,ROW()-1,60),ROW()-1,FALSE))</f>
        <v>0</v>
      </c>
      <c r="AK75">
        <f ca="1">IF(AND(ISNUMBER($AK$214),$B$145=1),$AK$214,HLOOKUP(INDIRECT(ADDRESS(2,COLUMN())),OFFSET($BN$2,0,0,ROW()-1,60),ROW()-1,FALSE))</f>
        <v>0</v>
      </c>
      <c r="AL75">
        <f ca="1">IF(AND(ISNUMBER($AL$214),$B$145=1),$AL$214,HLOOKUP(INDIRECT(ADDRESS(2,COLUMN())),OFFSET($BN$2,0,0,ROW()-1,60),ROW()-1,FALSE))</f>
        <v>0</v>
      </c>
      <c r="AM75">
        <f ca="1">IF(AND(ISNUMBER($AM$214),$B$145=1),$AM$214,HLOOKUP(INDIRECT(ADDRESS(2,COLUMN())),OFFSET($BN$2,0,0,ROW()-1,60),ROW()-1,FALSE))</f>
        <v>0</v>
      </c>
      <c r="AN75">
        <f ca="1">IF(AND(ISNUMBER($AN$214),$B$145=1),$AN$214,HLOOKUP(INDIRECT(ADDRESS(2,COLUMN())),OFFSET($BN$2,0,0,ROW()-1,60),ROW()-1,FALSE))</f>
        <v>0</v>
      </c>
      <c r="AO75">
        <f ca="1">IF(AND(ISNUMBER($AO$214),$B$145=1),$AO$214,HLOOKUP(INDIRECT(ADDRESS(2,COLUMN())),OFFSET($BN$2,0,0,ROW()-1,60),ROW()-1,FALSE))</f>
        <v>0</v>
      </c>
      <c r="AP75">
        <f ca="1">IF(AND(ISNUMBER($AP$214),$B$145=1),$AP$214,HLOOKUP(INDIRECT(ADDRESS(2,COLUMN())),OFFSET($BN$2,0,0,ROW()-1,60),ROW()-1,FALSE))</f>
        <v>0</v>
      </c>
      <c r="AQ75">
        <f ca="1">IF(AND(ISNUMBER($AQ$214),$B$145=1),$AQ$214,HLOOKUP(INDIRECT(ADDRESS(2,COLUMN())),OFFSET($BN$2,0,0,ROW()-1,60),ROW()-1,FALSE))</f>
        <v>0</v>
      </c>
      <c r="AR75">
        <f ca="1">IF(AND(ISNUMBER($AR$214),$B$145=1),$AR$214,HLOOKUP(INDIRECT(ADDRESS(2,COLUMN())),OFFSET($BN$2,0,0,ROW()-1,60),ROW()-1,FALSE))</f>
        <v>0</v>
      </c>
      <c r="AS75">
        <f ca="1">IF(AND(ISNUMBER($AS$214),$B$145=1),$AS$214,HLOOKUP(INDIRECT(ADDRESS(2,COLUMN())),OFFSET($BN$2,0,0,ROW()-1,60),ROW()-1,FALSE))</f>
        <v>0</v>
      </c>
      <c r="AT75">
        <f ca="1">IF(AND(ISNUMBER($AT$214),$B$145=1),$AT$214,HLOOKUP(INDIRECT(ADDRESS(2,COLUMN())),OFFSET($BN$2,0,0,ROW()-1,60),ROW()-1,FALSE))</f>
        <v>0</v>
      </c>
      <c r="AU75">
        <f ca="1">IF(AND(ISNUMBER($AU$214),$B$145=1),$AU$214,HLOOKUP(INDIRECT(ADDRESS(2,COLUMN())),OFFSET($BN$2,0,0,ROW()-1,60),ROW()-1,FALSE))</f>
        <v>0</v>
      </c>
      <c r="AV75">
        <f ca="1">IF(AND(ISNUMBER($AV$214),$B$145=1),$AV$214,HLOOKUP(INDIRECT(ADDRESS(2,COLUMN())),OFFSET($BN$2,0,0,ROW()-1,60),ROW()-1,FALSE))</f>
        <v>0</v>
      </c>
      <c r="AW75">
        <f ca="1">IF(AND(ISNUMBER($AW$214),$B$145=1),$AW$214,HLOOKUP(INDIRECT(ADDRESS(2,COLUMN())),OFFSET($BN$2,0,0,ROW()-1,60),ROW()-1,FALSE))</f>
        <v>0</v>
      </c>
      <c r="AX75">
        <f ca="1">IF(AND(ISNUMBER($AX$214),$B$145=1),$AX$214,HLOOKUP(INDIRECT(ADDRESS(2,COLUMN())),OFFSET($BN$2,0,0,ROW()-1,60),ROW()-1,FALSE))</f>
        <v>0</v>
      </c>
      <c r="AY75">
        <f ca="1">IF(AND(ISNUMBER($AY$214),$B$145=1),$AY$214,HLOOKUP(INDIRECT(ADDRESS(2,COLUMN())),OFFSET($BN$2,0,0,ROW()-1,60),ROW()-1,FALSE))</f>
        <v>0</v>
      </c>
      <c r="AZ75">
        <f ca="1">IF(AND(ISNUMBER($AZ$214),$B$145=1),$AZ$214,HLOOKUP(INDIRECT(ADDRESS(2,COLUMN())),OFFSET($BN$2,0,0,ROW()-1,60),ROW()-1,FALSE))</f>
        <v>0</v>
      </c>
      <c r="BA75">
        <f ca="1">IF(AND(ISNUMBER($BA$214),$B$145=1),$BA$214,HLOOKUP(INDIRECT(ADDRESS(2,COLUMN())),OFFSET($BN$2,0,0,ROW()-1,60),ROW()-1,FALSE))</f>
        <v>0</v>
      </c>
      <c r="BB75">
        <f ca="1">IF(AND(ISNUMBER($BB$214),$B$145=1),$BB$214,HLOOKUP(INDIRECT(ADDRESS(2,COLUMN())),OFFSET($BN$2,0,0,ROW()-1,60),ROW()-1,FALSE))</f>
        <v>0</v>
      </c>
      <c r="BC75">
        <f ca="1">IF(AND(ISNUMBER($BC$214),$B$145=1),$BC$214,HLOOKUP(INDIRECT(ADDRESS(2,COLUMN())),OFFSET($BN$2,0,0,ROW()-1,60),ROW()-1,FALSE))</f>
        <v>0</v>
      </c>
      <c r="BD75">
        <f ca="1">IF(AND(ISNUMBER($BD$214),$B$145=1),$BD$214,HLOOKUP(INDIRECT(ADDRESS(2,COLUMN())),OFFSET($BN$2,0,0,ROW()-1,60),ROW()-1,FALSE))</f>
        <v>0</v>
      </c>
      <c r="BE75">
        <f ca="1">IF(AND(ISNUMBER($BE$214),$B$145=1),$BE$214,HLOOKUP(INDIRECT(ADDRESS(2,COLUMN())),OFFSET($BN$2,0,0,ROW()-1,60),ROW()-1,FALSE))</f>
        <v>0</v>
      </c>
      <c r="BF75">
        <f ca="1">IF(AND(ISNUMBER($BF$214),$B$145=1),$BF$214,HLOOKUP(INDIRECT(ADDRESS(2,COLUMN())),OFFSET($BN$2,0,0,ROW()-1,60),ROW()-1,FALSE))</f>
        <v>0</v>
      </c>
      <c r="BG75">
        <f ca="1">IF(AND(ISNUMBER($BG$214),$B$145=1),$BG$214,HLOOKUP(INDIRECT(ADDRESS(2,COLUMN())),OFFSET($BN$2,0,0,ROW()-1,60),ROW()-1,FALSE))</f>
        <v>0</v>
      </c>
      <c r="BH75">
        <f ca="1">IF(AND(ISNUMBER($BH$214),$B$145=1),$BH$214,HLOOKUP(INDIRECT(ADDRESS(2,COLUMN())),OFFSET($BN$2,0,0,ROW()-1,60),ROW()-1,FALSE))</f>
        <v>0</v>
      </c>
      <c r="BI75">
        <f ca="1">IF(AND(ISNUMBER($BI$214),$B$145=1),$BI$214,HLOOKUP(INDIRECT(ADDRESS(2,COLUMN())),OFFSET($BN$2,0,0,ROW()-1,60),ROW()-1,FALSE))</f>
        <v>0</v>
      </c>
      <c r="BJ75">
        <f ca="1">IF(AND(ISNUMBER($BJ$214),$B$145=1),$BJ$214,HLOOKUP(INDIRECT(ADDRESS(2,COLUMN())),OFFSET($BN$2,0,0,ROW()-1,60),ROW()-1,FALSE))</f>
        <v>0</v>
      </c>
      <c r="BK75">
        <f ca="1">IF(AND(ISNUMBER($BK$214),$B$145=1),$BK$214,HLOOKUP(INDIRECT(ADDRESS(2,COLUMN())),OFFSET($BN$2,0,0,ROW()-1,60),ROW()-1,FALSE))</f>
        <v>0</v>
      </c>
      <c r="BL75">
        <f ca="1">IF(AND(ISNUMBER($BL$214),$B$145=1),$BL$214,HLOOKUP(INDIRECT(ADDRESS(2,COLUMN())),OFFSET($BN$2,0,0,ROW()-1,60),ROW()-1,FALSE))</f>
        <v>0</v>
      </c>
      <c r="BM75" t="str">
        <f ca="1">IF(AND(ISNUMBER($BM$214),$B$145=1),$BM$214,HLOOKUP(INDIRECT(ADDRESS(2,COLUMN())),OFFSET($BN$2,0,0,ROW()-1,60),ROW()-1,FALSE))</f>
        <v/>
      </c>
      <c r="BN75">
        <f>0</f>
        <v>0</v>
      </c>
      <c r="BO75">
        <f>0</f>
        <v>0</v>
      </c>
      <c r="BP75">
        <f>0</f>
        <v>0</v>
      </c>
      <c r="BQ75">
        <f>0</f>
        <v>0</v>
      </c>
      <c r="BR75">
        <f>0</f>
        <v>0</v>
      </c>
      <c r="BS75">
        <f>0</f>
        <v>0</v>
      </c>
      <c r="BT75">
        <f>0</f>
        <v>0</v>
      </c>
      <c r="BU75">
        <f>0</f>
        <v>0</v>
      </c>
      <c r="BV75">
        <f>0</f>
        <v>0</v>
      </c>
      <c r="BW75">
        <f>0</f>
        <v>0</v>
      </c>
      <c r="BX75">
        <f>0</f>
        <v>0</v>
      </c>
      <c r="BY75">
        <f>0</f>
        <v>0</v>
      </c>
      <c r="BZ75">
        <f>0</f>
        <v>0</v>
      </c>
      <c r="CA75">
        <f>0</f>
        <v>0</v>
      </c>
      <c r="CB75">
        <f>0</f>
        <v>0</v>
      </c>
      <c r="CC75">
        <f>0</f>
        <v>0</v>
      </c>
      <c r="CD75">
        <f>0</f>
        <v>0</v>
      </c>
      <c r="CE75">
        <f>0</f>
        <v>0</v>
      </c>
      <c r="CF75">
        <f>0</f>
        <v>0</v>
      </c>
      <c r="CG75">
        <f>0</f>
        <v>0</v>
      </c>
      <c r="CH75">
        <f>0</f>
        <v>0</v>
      </c>
      <c r="CI75">
        <f>0</f>
        <v>0</v>
      </c>
      <c r="CJ75">
        <f>0</f>
        <v>0</v>
      </c>
      <c r="CK75">
        <f>0</f>
        <v>0</v>
      </c>
      <c r="CL75">
        <f>0</f>
        <v>0</v>
      </c>
      <c r="CM75">
        <f>0</f>
        <v>0</v>
      </c>
      <c r="CN75">
        <f>0</f>
        <v>0</v>
      </c>
      <c r="CO75">
        <f>0</f>
        <v>0</v>
      </c>
      <c r="CP75">
        <f>0</f>
        <v>0</v>
      </c>
      <c r="CQ75">
        <f>0</f>
        <v>0</v>
      </c>
      <c r="CR75">
        <f>0</f>
        <v>0</v>
      </c>
      <c r="CS75">
        <f>0</f>
        <v>0</v>
      </c>
      <c r="CT75">
        <f>0</f>
        <v>0</v>
      </c>
      <c r="CU75">
        <f>0</f>
        <v>0</v>
      </c>
      <c r="CV75">
        <f>0</f>
        <v>0</v>
      </c>
      <c r="CW75">
        <f>0</f>
        <v>0</v>
      </c>
      <c r="CX75">
        <f>0</f>
        <v>0</v>
      </c>
      <c r="CY75">
        <f>0</f>
        <v>0</v>
      </c>
      <c r="CZ75">
        <f>0</f>
        <v>0</v>
      </c>
      <c r="DA75">
        <f>0</f>
        <v>0</v>
      </c>
      <c r="DB75">
        <f>0</f>
        <v>0</v>
      </c>
      <c r="DC75">
        <f>0</f>
        <v>0</v>
      </c>
      <c r="DD75">
        <f>0</f>
        <v>0</v>
      </c>
      <c r="DE75">
        <f>0</f>
        <v>0</v>
      </c>
      <c r="DF75">
        <f>0</f>
        <v>0</v>
      </c>
      <c r="DG75">
        <f>0</f>
        <v>0</v>
      </c>
      <c r="DH75">
        <f>0</f>
        <v>0</v>
      </c>
      <c r="DI75">
        <f>0</f>
        <v>0</v>
      </c>
      <c r="DJ75">
        <f>0</f>
        <v>0</v>
      </c>
      <c r="DK75">
        <f>0</f>
        <v>0</v>
      </c>
      <c r="DL75">
        <f>0</f>
        <v>0</v>
      </c>
      <c r="DM75">
        <f>0</f>
        <v>0</v>
      </c>
      <c r="DN75">
        <f>0</f>
        <v>0</v>
      </c>
      <c r="DO75">
        <f>0</f>
        <v>0</v>
      </c>
      <c r="DP75">
        <f>0</f>
        <v>0</v>
      </c>
      <c r="DQ75">
        <f>0</f>
        <v>0</v>
      </c>
      <c r="DR75">
        <f>0</f>
        <v>0</v>
      </c>
      <c r="DS75">
        <f>0</f>
        <v>0</v>
      </c>
      <c r="DT75">
        <f>0</f>
        <v>0</v>
      </c>
      <c r="DU75" t="str">
        <f>""</f>
        <v/>
      </c>
    </row>
    <row r="76" spans="1:125" x14ac:dyDescent="0.25">
      <c r="A76" t="str">
        <f>"            Flagstar Financial Inc"</f>
        <v xml:space="preserve">            Flagstar Financial Inc</v>
      </c>
      <c r="B76" t="str">
        <f>"FLG US Equity"</f>
        <v>FLG US Equity</v>
      </c>
      <c r="C76" t="str">
        <f t="shared" si="9"/>
        <v>FC070</v>
      </c>
      <c r="D76" t="str">
        <f t="shared" si="10"/>
        <v>FDIC_TRADING_ACCT_ASSETS</v>
      </c>
      <c r="E76" t="str">
        <f t="shared" si="11"/>
        <v>Dynamic</v>
      </c>
      <c r="F76" t="str">
        <f ca="1">IF(AND(ISNUMBER($F$215),$B$145=1),$F$215,HLOOKUP(INDIRECT(ADDRESS(2,COLUMN())),OFFSET($BN$2,0,0,ROW()-1,60),ROW()-1,FALSE))</f>
        <v/>
      </c>
      <c r="G76">
        <f ca="1">IF(AND(ISNUMBER($G$215),$B$145=1),$G$215,HLOOKUP(INDIRECT(ADDRESS(2,COLUMN())),OFFSET($BN$2,0,0,ROW()-1,60),ROW()-1,FALSE))</f>
        <v>6.0629999999999997</v>
      </c>
      <c r="H76">
        <f ca="1">IF(AND(ISNUMBER($H$215),$B$145=1),$H$215,HLOOKUP(INDIRECT(ADDRESS(2,COLUMN())),OFFSET($BN$2,0,0,ROW()-1,60),ROW()-1,FALSE))</f>
        <v>101.703</v>
      </c>
      <c r="I76">
        <f ca="1">IF(AND(ISNUMBER($I$215),$B$145=1),$I$215,HLOOKUP(INDIRECT(ADDRESS(2,COLUMN())),OFFSET($BN$2,0,0,ROW()-1,60),ROW()-1,FALSE))</f>
        <v>91.122</v>
      </c>
      <c r="J76">
        <f ca="1">IF(AND(ISNUMBER($J$215),$B$145=1),$J$215,HLOOKUP(INDIRECT(ADDRESS(2,COLUMN())),OFFSET($BN$2,0,0,ROW()-1,60),ROW()-1,FALSE))</f>
        <v>105.129</v>
      </c>
      <c r="K76">
        <f ca="1">IF(AND(ISNUMBER($K$215),$B$145=1),$K$215,HLOOKUP(INDIRECT(ADDRESS(2,COLUMN())),OFFSET($BN$2,0,0,ROW()-1,60),ROW()-1,FALSE))</f>
        <v>153.59899999999999</v>
      </c>
      <c r="L76">
        <f ca="1">IF(AND(ISNUMBER($L$215),$B$145=1),$L$215,HLOOKUP(INDIRECT(ADDRESS(2,COLUMN())),OFFSET($BN$2,0,0,ROW()-1,60),ROW()-1,FALSE))</f>
        <v>144.78100000000001</v>
      </c>
      <c r="M76">
        <f ca="1">IF(AND(ISNUMBER($M$215),$B$145=1),$M$215,HLOOKUP(INDIRECT(ADDRESS(2,COLUMN())),OFFSET($BN$2,0,0,ROW()-1,60),ROW()-1,FALSE))</f>
        <v>154.18</v>
      </c>
      <c r="N76">
        <f ca="1">IF(AND(ISNUMBER($N$215),$B$145=1),$N$215,HLOOKUP(INDIRECT(ADDRESS(2,COLUMN())),OFFSET($BN$2,0,0,ROW()-1,60),ROW()-1,FALSE))</f>
        <v>207.36099999999999</v>
      </c>
      <c r="O76">
        <f ca="1">IF(AND(ISNUMBER($O$215),$B$145=1),$O$215,HLOOKUP(INDIRECT(ADDRESS(2,COLUMN())),OFFSET($BN$2,0,0,ROW()-1,60),ROW()-1,FALSE))</f>
        <v>0</v>
      </c>
      <c r="P76">
        <f ca="1">IF(AND(ISNUMBER($P$215),$B$145=1),$P$215,HLOOKUP(INDIRECT(ADDRESS(2,COLUMN())),OFFSET($BN$2,0,0,ROW()-1,60),ROW()-1,FALSE))</f>
        <v>0</v>
      </c>
      <c r="Q76">
        <f ca="1">IF(AND(ISNUMBER($Q$215),$B$145=1),$Q$215,HLOOKUP(INDIRECT(ADDRESS(2,COLUMN())),OFFSET($BN$2,0,0,ROW()-1,60),ROW()-1,FALSE))</f>
        <v>0</v>
      </c>
      <c r="R76">
        <f ca="1">IF(AND(ISNUMBER($R$215),$B$145=1),$R$215,HLOOKUP(INDIRECT(ADDRESS(2,COLUMN())),OFFSET($BN$2,0,0,ROW()-1,60),ROW()-1,FALSE))</f>
        <v>0</v>
      </c>
      <c r="S76">
        <f ca="1">IF(AND(ISNUMBER($S$215),$B$145=1),$S$215,HLOOKUP(INDIRECT(ADDRESS(2,COLUMN())),OFFSET($BN$2,0,0,ROW()-1,60),ROW()-1,FALSE))</f>
        <v>0</v>
      </c>
      <c r="T76">
        <f ca="1">IF(AND(ISNUMBER($T$215),$B$145=1),$T$215,HLOOKUP(INDIRECT(ADDRESS(2,COLUMN())),OFFSET($BN$2,0,0,ROW()-1,60),ROW()-1,FALSE))</f>
        <v>0</v>
      </c>
      <c r="U76">
        <f ca="1">IF(AND(ISNUMBER($U$215),$B$145=1),$U$215,HLOOKUP(INDIRECT(ADDRESS(2,COLUMN())),OFFSET($BN$2,0,0,ROW()-1,60),ROW()-1,FALSE))</f>
        <v>0</v>
      </c>
      <c r="V76">
        <f ca="1">IF(AND(ISNUMBER($V$215),$B$145=1),$V$215,HLOOKUP(INDIRECT(ADDRESS(2,COLUMN())),OFFSET($BN$2,0,0,ROW()-1,60),ROW()-1,FALSE))</f>
        <v>0</v>
      </c>
      <c r="W76">
        <f ca="1">IF(AND(ISNUMBER($W$215),$B$145=1),$W$215,HLOOKUP(INDIRECT(ADDRESS(2,COLUMN())),OFFSET($BN$2,0,0,ROW()-1,60),ROW()-1,FALSE))</f>
        <v>0</v>
      </c>
      <c r="X76">
        <f ca="1">IF(AND(ISNUMBER($X$215),$B$145=1),$X$215,HLOOKUP(INDIRECT(ADDRESS(2,COLUMN())),OFFSET($BN$2,0,0,ROW()-1,60),ROW()-1,FALSE))</f>
        <v>0</v>
      </c>
      <c r="Y76">
        <f ca="1">IF(AND(ISNUMBER($Y$215),$B$145=1),$Y$215,HLOOKUP(INDIRECT(ADDRESS(2,COLUMN())),OFFSET($BN$2,0,0,ROW()-1,60),ROW()-1,FALSE))</f>
        <v>0</v>
      </c>
      <c r="Z76">
        <f ca="1">IF(AND(ISNUMBER($Z$215),$B$145=1),$Z$215,HLOOKUP(INDIRECT(ADDRESS(2,COLUMN())),OFFSET($BN$2,0,0,ROW()-1,60),ROW()-1,FALSE))</f>
        <v>0</v>
      </c>
      <c r="AA76">
        <f ca="1">IF(AND(ISNUMBER($AA$215),$B$145=1),$AA$215,HLOOKUP(INDIRECT(ADDRESS(2,COLUMN())),OFFSET($BN$2,0,0,ROW()-1,60),ROW()-1,FALSE))</f>
        <v>0</v>
      </c>
      <c r="AB76">
        <f ca="1">IF(AND(ISNUMBER($AB$215),$B$145=1),$AB$215,HLOOKUP(INDIRECT(ADDRESS(2,COLUMN())),OFFSET($BN$2,0,0,ROW()-1,60),ROW()-1,FALSE))</f>
        <v>0</v>
      </c>
      <c r="AC76">
        <f ca="1">IF(AND(ISNUMBER($AC$215),$B$145=1),$AC$215,HLOOKUP(INDIRECT(ADDRESS(2,COLUMN())),OFFSET($BN$2,0,0,ROW()-1,60),ROW()-1,FALSE))</f>
        <v>0</v>
      </c>
      <c r="AD76">
        <f ca="1">IF(AND(ISNUMBER($AD$215),$B$145=1),$AD$215,HLOOKUP(INDIRECT(ADDRESS(2,COLUMN())),OFFSET($BN$2,0,0,ROW()-1,60),ROW()-1,FALSE))</f>
        <v>0</v>
      </c>
      <c r="AE76">
        <f ca="1">IF(AND(ISNUMBER($AE$215),$B$145=1),$AE$215,HLOOKUP(INDIRECT(ADDRESS(2,COLUMN())),OFFSET($BN$2,0,0,ROW()-1,60),ROW()-1,FALSE))</f>
        <v>0</v>
      </c>
      <c r="AF76">
        <f ca="1">IF(AND(ISNUMBER($AF$215),$B$145=1),$AF$215,HLOOKUP(INDIRECT(ADDRESS(2,COLUMN())),OFFSET($BN$2,0,0,ROW()-1,60),ROW()-1,FALSE))</f>
        <v>0</v>
      </c>
      <c r="AG76">
        <f ca="1">IF(AND(ISNUMBER($AG$215),$B$145=1),$AG$215,HLOOKUP(INDIRECT(ADDRESS(2,COLUMN())),OFFSET($BN$2,0,0,ROW()-1,60),ROW()-1,FALSE))</f>
        <v>0</v>
      </c>
      <c r="AH76">
        <f ca="1">IF(AND(ISNUMBER($AH$215),$B$145=1),$AH$215,HLOOKUP(INDIRECT(ADDRESS(2,COLUMN())),OFFSET($BN$2,0,0,ROW()-1,60),ROW()-1,FALSE))</f>
        <v>0</v>
      </c>
      <c r="AI76">
        <f ca="1">IF(AND(ISNUMBER($AI$215),$B$145=1),$AI$215,HLOOKUP(INDIRECT(ADDRESS(2,COLUMN())),OFFSET($BN$2,0,0,ROW()-1,60),ROW()-1,FALSE))</f>
        <v>0</v>
      </c>
      <c r="AJ76">
        <f ca="1">IF(AND(ISNUMBER($AJ$215),$B$145=1),$AJ$215,HLOOKUP(INDIRECT(ADDRESS(2,COLUMN())),OFFSET($BN$2,0,0,ROW()-1,60),ROW()-1,FALSE))</f>
        <v>0</v>
      </c>
      <c r="AK76">
        <f ca="1">IF(AND(ISNUMBER($AK$215),$B$145=1),$AK$215,HLOOKUP(INDIRECT(ADDRESS(2,COLUMN())),OFFSET($BN$2,0,0,ROW()-1,60),ROW()-1,FALSE))</f>
        <v>0</v>
      </c>
      <c r="AL76">
        <f ca="1">IF(AND(ISNUMBER($AL$215),$B$145=1),$AL$215,HLOOKUP(INDIRECT(ADDRESS(2,COLUMN())),OFFSET($BN$2,0,0,ROW()-1,60),ROW()-1,FALSE))</f>
        <v>0</v>
      </c>
      <c r="AM76">
        <f ca="1">IF(AND(ISNUMBER($AM$215),$B$145=1),$AM$215,HLOOKUP(INDIRECT(ADDRESS(2,COLUMN())),OFFSET($BN$2,0,0,ROW()-1,60),ROW()-1,FALSE))</f>
        <v>0</v>
      </c>
      <c r="AN76">
        <f ca="1">IF(AND(ISNUMBER($AN$215),$B$145=1),$AN$215,HLOOKUP(INDIRECT(ADDRESS(2,COLUMN())),OFFSET($BN$2,0,0,ROW()-1,60),ROW()-1,FALSE))</f>
        <v>0</v>
      </c>
      <c r="AO76">
        <f ca="1">IF(AND(ISNUMBER($AO$215),$B$145=1),$AO$215,HLOOKUP(INDIRECT(ADDRESS(2,COLUMN())),OFFSET($BN$2,0,0,ROW()-1,60),ROW()-1,FALSE))</f>
        <v>0</v>
      </c>
      <c r="AP76">
        <f ca="1">IF(AND(ISNUMBER($AP$215),$B$145=1),$AP$215,HLOOKUP(INDIRECT(ADDRESS(2,COLUMN())),OFFSET($BN$2,0,0,ROW()-1,60),ROW()-1,FALSE))</f>
        <v>0</v>
      </c>
      <c r="AQ76">
        <f ca="1">IF(AND(ISNUMBER($AQ$215),$B$145=1),$AQ$215,HLOOKUP(INDIRECT(ADDRESS(2,COLUMN())),OFFSET($BN$2,0,0,ROW()-1,60),ROW()-1,FALSE))</f>
        <v>0</v>
      </c>
      <c r="AR76">
        <f ca="1">IF(AND(ISNUMBER($AR$215),$B$145=1),$AR$215,HLOOKUP(INDIRECT(ADDRESS(2,COLUMN())),OFFSET($BN$2,0,0,ROW()-1,60),ROW()-1,FALSE))</f>
        <v>0</v>
      </c>
      <c r="AS76">
        <f ca="1">IF(AND(ISNUMBER($AS$215),$B$145=1),$AS$215,HLOOKUP(INDIRECT(ADDRESS(2,COLUMN())),OFFSET($BN$2,0,0,ROW()-1,60),ROW()-1,FALSE))</f>
        <v>0</v>
      </c>
      <c r="AT76">
        <f ca="1">IF(AND(ISNUMBER($AT$215),$B$145=1),$AT$215,HLOOKUP(INDIRECT(ADDRESS(2,COLUMN())),OFFSET($BN$2,0,0,ROW()-1,60),ROW()-1,FALSE))</f>
        <v>0</v>
      </c>
      <c r="AU76">
        <f ca="1">IF(AND(ISNUMBER($AU$215),$B$145=1),$AU$215,HLOOKUP(INDIRECT(ADDRESS(2,COLUMN())),OFFSET($BN$2,0,0,ROW()-1,60),ROW()-1,FALSE))</f>
        <v>0</v>
      </c>
      <c r="AV76">
        <f ca="1">IF(AND(ISNUMBER($AV$215),$B$145=1),$AV$215,HLOOKUP(INDIRECT(ADDRESS(2,COLUMN())),OFFSET($BN$2,0,0,ROW()-1,60),ROW()-1,FALSE))</f>
        <v>0</v>
      </c>
      <c r="AW76">
        <f ca="1">IF(AND(ISNUMBER($AW$215),$B$145=1),$AW$215,HLOOKUP(INDIRECT(ADDRESS(2,COLUMN())),OFFSET($BN$2,0,0,ROW()-1,60),ROW()-1,FALSE))</f>
        <v>0</v>
      </c>
      <c r="AX76">
        <f ca="1">IF(AND(ISNUMBER($AX$215),$B$145=1),$AX$215,HLOOKUP(INDIRECT(ADDRESS(2,COLUMN())),OFFSET($BN$2,0,0,ROW()-1,60),ROW()-1,FALSE))</f>
        <v>0</v>
      </c>
      <c r="AY76">
        <f ca="1">IF(AND(ISNUMBER($AY$215),$B$145=1),$AY$215,HLOOKUP(INDIRECT(ADDRESS(2,COLUMN())),OFFSET($BN$2,0,0,ROW()-1,60),ROW()-1,FALSE))</f>
        <v>0</v>
      </c>
      <c r="AZ76">
        <f ca="1">IF(AND(ISNUMBER($AZ$215),$B$145=1),$AZ$215,HLOOKUP(INDIRECT(ADDRESS(2,COLUMN())),OFFSET($BN$2,0,0,ROW()-1,60),ROW()-1,FALSE))</f>
        <v>0</v>
      </c>
      <c r="BA76">
        <f ca="1">IF(AND(ISNUMBER($BA$215),$B$145=1),$BA$215,HLOOKUP(INDIRECT(ADDRESS(2,COLUMN())),OFFSET($BN$2,0,0,ROW()-1,60),ROW()-1,FALSE))</f>
        <v>0</v>
      </c>
      <c r="BB76">
        <f ca="1">IF(AND(ISNUMBER($BB$215),$B$145=1),$BB$215,HLOOKUP(INDIRECT(ADDRESS(2,COLUMN())),OFFSET($BN$2,0,0,ROW()-1,60),ROW()-1,FALSE))</f>
        <v>0</v>
      </c>
      <c r="BC76">
        <f ca="1">IF(AND(ISNUMBER($BC$215),$B$145=1),$BC$215,HLOOKUP(INDIRECT(ADDRESS(2,COLUMN())),OFFSET($BN$2,0,0,ROW()-1,60),ROW()-1,FALSE))</f>
        <v>0</v>
      </c>
      <c r="BD76">
        <f ca="1">IF(AND(ISNUMBER($BD$215),$B$145=1),$BD$215,HLOOKUP(INDIRECT(ADDRESS(2,COLUMN())),OFFSET($BN$2,0,0,ROW()-1,60),ROW()-1,FALSE))</f>
        <v>0</v>
      </c>
      <c r="BE76">
        <f ca="1">IF(AND(ISNUMBER($BE$215),$B$145=1),$BE$215,HLOOKUP(INDIRECT(ADDRESS(2,COLUMN())),OFFSET($BN$2,0,0,ROW()-1,60),ROW()-1,FALSE))</f>
        <v>0</v>
      </c>
      <c r="BF76">
        <f ca="1">IF(AND(ISNUMBER($BF$215),$B$145=1),$BF$215,HLOOKUP(INDIRECT(ADDRESS(2,COLUMN())),OFFSET($BN$2,0,0,ROW()-1,60),ROW()-1,FALSE))</f>
        <v>0</v>
      </c>
      <c r="BG76">
        <f ca="1">IF(AND(ISNUMBER($BG$215),$B$145=1),$BG$215,HLOOKUP(INDIRECT(ADDRESS(2,COLUMN())),OFFSET($BN$2,0,0,ROW()-1,60),ROW()-1,FALSE))</f>
        <v>0</v>
      </c>
      <c r="BH76">
        <f ca="1">IF(AND(ISNUMBER($BH$215),$B$145=1),$BH$215,HLOOKUP(INDIRECT(ADDRESS(2,COLUMN())),OFFSET($BN$2,0,0,ROW()-1,60),ROW()-1,FALSE))</f>
        <v>0</v>
      </c>
      <c r="BI76">
        <f ca="1">IF(AND(ISNUMBER($BI$215),$B$145=1),$BI$215,HLOOKUP(INDIRECT(ADDRESS(2,COLUMN())),OFFSET($BN$2,0,0,ROW()-1,60),ROW()-1,FALSE))</f>
        <v>0</v>
      </c>
      <c r="BJ76">
        <f ca="1">IF(AND(ISNUMBER($BJ$215),$B$145=1),$BJ$215,HLOOKUP(INDIRECT(ADDRESS(2,COLUMN())),OFFSET($BN$2,0,0,ROW()-1,60),ROW()-1,FALSE))</f>
        <v>0</v>
      </c>
      <c r="BK76">
        <f ca="1">IF(AND(ISNUMBER($BK$215),$B$145=1),$BK$215,HLOOKUP(INDIRECT(ADDRESS(2,COLUMN())),OFFSET($BN$2,0,0,ROW()-1,60),ROW()-1,FALSE))</f>
        <v>0</v>
      </c>
      <c r="BL76">
        <f ca="1">IF(AND(ISNUMBER($BL$215),$B$145=1),$BL$215,HLOOKUP(INDIRECT(ADDRESS(2,COLUMN())),OFFSET($BN$2,0,0,ROW()-1,60),ROW()-1,FALSE))</f>
        <v>0</v>
      </c>
      <c r="BM76" t="str">
        <f ca="1">IF(AND(ISNUMBER($BM$215),$B$145=1),$BM$215,HLOOKUP(INDIRECT(ADDRESS(2,COLUMN())),OFFSET($BN$2,0,0,ROW()-1,60),ROW()-1,FALSE))</f>
        <v/>
      </c>
      <c r="BN76" t="str">
        <f>""</f>
        <v/>
      </c>
      <c r="BO76">
        <f>6.063</f>
        <v>6.0629999999999997</v>
      </c>
      <c r="BP76">
        <f>101.703</f>
        <v>101.703</v>
      </c>
      <c r="BQ76">
        <f>91.122</f>
        <v>91.122</v>
      </c>
      <c r="BR76">
        <f>105.129</f>
        <v>105.129</v>
      </c>
      <c r="BS76">
        <f>153.599</f>
        <v>153.59899999999999</v>
      </c>
      <c r="BT76">
        <f>144.781</f>
        <v>144.78100000000001</v>
      </c>
      <c r="BU76">
        <f>154.18</f>
        <v>154.18</v>
      </c>
      <c r="BV76">
        <f>207.361</f>
        <v>207.36099999999999</v>
      </c>
      <c r="BW76">
        <f>0</f>
        <v>0</v>
      </c>
      <c r="BX76">
        <f>0</f>
        <v>0</v>
      </c>
      <c r="BY76">
        <f>0</f>
        <v>0</v>
      </c>
      <c r="BZ76">
        <f>0</f>
        <v>0</v>
      </c>
      <c r="CA76">
        <f>0</f>
        <v>0</v>
      </c>
      <c r="CB76">
        <f>0</f>
        <v>0</v>
      </c>
      <c r="CC76">
        <f>0</f>
        <v>0</v>
      </c>
      <c r="CD76">
        <f>0</f>
        <v>0</v>
      </c>
      <c r="CE76">
        <f>0</f>
        <v>0</v>
      </c>
      <c r="CF76">
        <f>0</f>
        <v>0</v>
      </c>
      <c r="CG76">
        <f>0</f>
        <v>0</v>
      </c>
      <c r="CH76">
        <f>0</f>
        <v>0</v>
      </c>
      <c r="CI76">
        <f>0</f>
        <v>0</v>
      </c>
      <c r="CJ76">
        <f>0</f>
        <v>0</v>
      </c>
      <c r="CK76">
        <f>0</f>
        <v>0</v>
      </c>
      <c r="CL76">
        <f>0</f>
        <v>0</v>
      </c>
      <c r="CM76">
        <f>0</f>
        <v>0</v>
      </c>
      <c r="CN76">
        <f>0</f>
        <v>0</v>
      </c>
      <c r="CO76">
        <f>0</f>
        <v>0</v>
      </c>
      <c r="CP76">
        <f>0</f>
        <v>0</v>
      </c>
      <c r="CQ76">
        <f>0</f>
        <v>0</v>
      </c>
      <c r="CR76">
        <f>0</f>
        <v>0</v>
      </c>
      <c r="CS76">
        <f>0</f>
        <v>0</v>
      </c>
      <c r="CT76">
        <f>0</f>
        <v>0</v>
      </c>
      <c r="CU76">
        <f>0</f>
        <v>0</v>
      </c>
      <c r="CV76">
        <f>0</f>
        <v>0</v>
      </c>
      <c r="CW76">
        <f>0</f>
        <v>0</v>
      </c>
      <c r="CX76">
        <f>0</f>
        <v>0</v>
      </c>
      <c r="CY76">
        <f>0</f>
        <v>0</v>
      </c>
      <c r="CZ76">
        <f>0</f>
        <v>0</v>
      </c>
      <c r="DA76">
        <f>0</f>
        <v>0</v>
      </c>
      <c r="DB76">
        <f>0</f>
        <v>0</v>
      </c>
      <c r="DC76">
        <f>0</f>
        <v>0</v>
      </c>
      <c r="DD76">
        <f>0</f>
        <v>0</v>
      </c>
      <c r="DE76">
        <f>0</f>
        <v>0</v>
      </c>
      <c r="DF76">
        <f>0</f>
        <v>0</v>
      </c>
      <c r="DG76">
        <f>0</f>
        <v>0</v>
      </c>
      <c r="DH76">
        <f>0</f>
        <v>0</v>
      </c>
      <c r="DI76">
        <f>0</f>
        <v>0</v>
      </c>
      <c r="DJ76">
        <f>0</f>
        <v>0</v>
      </c>
      <c r="DK76">
        <f>0</f>
        <v>0</v>
      </c>
      <c r="DL76">
        <f>0</f>
        <v>0</v>
      </c>
      <c r="DM76">
        <f>0</f>
        <v>0</v>
      </c>
      <c r="DN76">
        <f>0</f>
        <v>0</v>
      </c>
      <c r="DO76">
        <f>0</f>
        <v>0</v>
      </c>
      <c r="DP76">
        <f>0</f>
        <v>0</v>
      </c>
      <c r="DQ76">
        <f>0</f>
        <v>0</v>
      </c>
      <c r="DR76">
        <f>0</f>
        <v>0</v>
      </c>
      <c r="DS76">
        <f>0</f>
        <v>0</v>
      </c>
      <c r="DT76">
        <f>0</f>
        <v>0</v>
      </c>
      <c r="DU76" t="str">
        <f>""</f>
        <v/>
      </c>
    </row>
    <row r="77" spans="1:125" x14ac:dyDescent="0.25">
      <c r="A77" t="str">
        <f>"            Huntington Bancshares Inc/OH"</f>
        <v xml:space="preserve">            Huntington Bancshares Inc/OH</v>
      </c>
      <c r="B77" t="str">
        <f>"HBAN US Equity"</f>
        <v>HBAN US Equity</v>
      </c>
      <c r="C77" t="str">
        <f t="shared" si="9"/>
        <v>FC070</v>
      </c>
      <c r="D77" t="str">
        <f t="shared" si="10"/>
        <v>FDIC_TRADING_ACCT_ASSETS</v>
      </c>
      <c r="E77" t="str">
        <f t="shared" si="11"/>
        <v>Dynamic</v>
      </c>
      <c r="F77">
        <f ca="1">IF(AND(ISNUMBER($F$216),$B$145=1),$F$216,HLOOKUP(INDIRECT(ADDRESS(2,COLUMN())),OFFSET($BN$2,0,0,ROW()-1,60),ROW()-1,FALSE))</f>
        <v>288.964</v>
      </c>
      <c r="G77">
        <f ca="1">IF(AND(ISNUMBER($G$216),$B$145=1),$G$216,HLOOKUP(INDIRECT(ADDRESS(2,COLUMN())),OFFSET($BN$2,0,0,ROW()-1,60),ROW()-1,FALSE))</f>
        <v>743.89200000000005</v>
      </c>
      <c r="H77">
        <f ca="1">IF(AND(ISNUMBER($H$216),$B$145=1),$H$216,HLOOKUP(INDIRECT(ADDRESS(2,COLUMN())),OFFSET($BN$2,0,0,ROW()-1,60),ROW()-1,FALSE))</f>
        <v>530.01</v>
      </c>
      <c r="I77">
        <f ca="1">IF(AND(ISNUMBER($I$216),$B$145=1),$I$216,HLOOKUP(INDIRECT(ADDRESS(2,COLUMN())),OFFSET($BN$2,0,0,ROW()-1,60),ROW()-1,FALSE))</f>
        <v>425.52800000000002</v>
      </c>
      <c r="J77">
        <f ca="1">IF(AND(ISNUMBER($J$216),$B$145=1),$J$216,HLOOKUP(INDIRECT(ADDRESS(2,COLUMN())),OFFSET($BN$2,0,0,ROW()-1,60),ROW()-1,FALSE))</f>
        <v>418.46</v>
      </c>
      <c r="K77">
        <f ca="1">IF(AND(ISNUMBER($K$216),$B$145=1),$K$216,HLOOKUP(INDIRECT(ADDRESS(2,COLUMN())),OFFSET($BN$2,0,0,ROW()-1,60),ROW()-1,FALSE))</f>
        <v>585.553</v>
      </c>
      <c r="L77">
        <f ca="1">IF(AND(ISNUMBER($L$216),$B$145=1),$L$216,HLOOKUP(INDIRECT(ADDRESS(2,COLUMN())),OFFSET($BN$2,0,0,ROW()-1,60),ROW()-1,FALSE))</f>
        <v>547.03</v>
      </c>
      <c r="M77">
        <f ca="1">IF(AND(ISNUMBER($M$216),$B$145=1),$M$216,HLOOKUP(INDIRECT(ADDRESS(2,COLUMN())),OFFSET($BN$2,0,0,ROW()-1,60),ROW()-1,FALSE))</f>
        <v>320.65300000000002</v>
      </c>
      <c r="N77">
        <f ca="1">IF(AND(ISNUMBER($N$216),$B$145=1),$N$216,HLOOKUP(INDIRECT(ADDRESS(2,COLUMN())),OFFSET($BN$2,0,0,ROW()-1,60),ROW()-1,FALSE))</f>
        <v>365.54399999999998</v>
      </c>
      <c r="O77">
        <f ca="1">IF(AND(ISNUMBER($O$216),$B$145=1),$O$216,HLOOKUP(INDIRECT(ADDRESS(2,COLUMN())),OFFSET($BN$2,0,0,ROW()-1,60),ROW()-1,FALSE))</f>
        <v>448.87</v>
      </c>
      <c r="P77">
        <f ca="1">IF(AND(ISNUMBER($P$216),$B$145=1),$P$216,HLOOKUP(INDIRECT(ADDRESS(2,COLUMN())),OFFSET($BN$2,0,0,ROW()-1,60),ROW()-1,FALSE))</f>
        <v>362.09800000000001</v>
      </c>
      <c r="Q77">
        <f ca="1">IF(AND(ISNUMBER($Q$216),$B$145=1),$Q$216,HLOOKUP(INDIRECT(ADDRESS(2,COLUMN())),OFFSET($BN$2,0,0,ROW()-1,60),ROW()-1,FALSE))</f>
        <v>581.9</v>
      </c>
      <c r="R77">
        <f ca="1">IF(AND(ISNUMBER($R$216),$B$145=1),$R$216,HLOOKUP(INDIRECT(ADDRESS(2,COLUMN())),OFFSET($BN$2,0,0,ROW()-1,60),ROW()-1,FALSE))</f>
        <v>641.38599999999997</v>
      </c>
      <c r="S77">
        <f ca="1">IF(AND(ISNUMBER($S$216),$B$145=1),$S$216,HLOOKUP(INDIRECT(ADDRESS(2,COLUMN())),OFFSET($BN$2,0,0,ROW()-1,60),ROW()-1,FALSE))</f>
        <v>959.62599999999998</v>
      </c>
      <c r="T77">
        <f ca="1">IF(AND(ISNUMBER($T$216),$B$145=1),$T$216,HLOOKUP(INDIRECT(ADDRESS(2,COLUMN())),OFFSET($BN$2,0,0,ROW()-1,60),ROW()-1,FALSE))</f>
        <v>1018.497</v>
      </c>
      <c r="U77">
        <f ca="1">IF(AND(ISNUMBER($U$216),$B$145=1),$U$216,HLOOKUP(INDIRECT(ADDRESS(2,COLUMN())),OFFSET($BN$2,0,0,ROW()-1,60),ROW()-1,FALSE))</f>
        <v>1023.41</v>
      </c>
      <c r="V77">
        <f ca="1">IF(AND(ISNUMBER($V$216),$B$145=1),$V$216,HLOOKUP(INDIRECT(ADDRESS(2,COLUMN())),OFFSET($BN$2,0,0,ROW()-1,60),ROW()-1,FALSE))</f>
        <v>1119.386</v>
      </c>
      <c r="W77">
        <f ca="1">IF(AND(ISNUMBER($W$216),$B$145=1),$W$216,HLOOKUP(INDIRECT(ADDRESS(2,COLUMN())),OFFSET($BN$2,0,0,ROW()-1,60),ROW()-1,FALSE))</f>
        <v>1132.4849999999999</v>
      </c>
      <c r="X77">
        <f ca="1">IF(AND(ISNUMBER($X$216),$B$145=1),$X$216,HLOOKUP(INDIRECT(ADDRESS(2,COLUMN())),OFFSET($BN$2,0,0,ROW()-1,60),ROW()-1,FALSE))</f>
        <v>1129.0050000000001</v>
      </c>
      <c r="Y77">
        <f ca="1">IF(AND(ISNUMBER($Y$216),$B$145=1),$Y$216,HLOOKUP(INDIRECT(ADDRESS(2,COLUMN())),OFFSET($BN$2,0,0,ROW()-1,60),ROW()-1,FALSE))</f>
        <v>1098.5250000000001</v>
      </c>
      <c r="Z77">
        <f ca="1">IF(AND(ISNUMBER($Z$216),$B$145=1),$Z$216,HLOOKUP(INDIRECT(ADDRESS(2,COLUMN())),OFFSET($BN$2,0,0,ROW()-1,60),ROW()-1,FALSE))</f>
        <v>544.94100000000003</v>
      </c>
      <c r="AA77">
        <f ca="1">IF(AND(ISNUMBER($AA$216),$B$145=1),$AA$216,HLOOKUP(INDIRECT(ADDRESS(2,COLUMN())),OFFSET($BN$2,0,0,ROW()-1,60),ROW()-1,FALSE))</f>
        <v>685.072</v>
      </c>
      <c r="AB77">
        <f ca="1">IF(AND(ISNUMBER($AB$216),$B$145=1),$AB$216,HLOOKUP(INDIRECT(ADDRESS(2,COLUMN())),OFFSET($BN$2,0,0,ROW()-1,60),ROW()-1,FALSE))</f>
        <v>604.07899999999995</v>
      </c>
      <c r="AC77">
        <f ca="1">IF(AND(ISNUMBER($AC$216),$B$145=1),$AC$216,HLOOKUP(INDIRECT(ADDRESS(2,COLUMN())),OFFSET($BN$2,0,0,ROW()-1,60),ROW()-1,FALSE))</f>
        <v>418.36500000000001</v>
      </c>
      <c r="AD77">
        <f ca="1">IF(AND(ISNUMBER($AD$216),$B$145=1),$AD$216,HLOOKUP(INDIRECT(ADDRESS(2,COLUMN())),OFFSET($BN$2,0,0,ROW()-1,60),ROW()-1,FALSE))</f>
        <v>303.488</v>
      </c>
      <c r="AE77">
        <f ca="1">IF(AND(ISNUMBER($AE$216),$B$145=1),$AE$216,HLOOKUP(INDIRECT(ADDRESS(2,COLUMN())),OFFSET($BN$2,0,0,ROW()-1,60),ROW()-1,FALSE))</f>
        <v>247.97200000000001</v>
      </c>
      <c r="AF77">
        <f ca="1">IF(AND(ISNUMBER($AF$216),$B$145=1),$AF$216,HLOOKUP(INDIRECT(ADDRESS(2,COLUMN())),OFFSET($BN$2,0,0,ROW()-1,60),ROW()-1,FALSE))</f>
        <v>251.53100000000001</v>
      </c>
      <c r="AG77">
        <f ca="1">IF(AND(ISNUMBER($AG$216),$B$145=1),$AG$216,HLOOKUP(INDIRECT(ADDRESS(2,COLUMN())),OFFSET($BN$2,0,0,ROW()-1,60),ROW()-1,FALSE))</f>
        <v>168.89699999999999</v>
      </c>
      <c r="AH77">
        <f ca="1">IF(AND(ISNUMBER($AH$216),$B$145=1),$AH$216,HLOOKUP(INDIRECT(ADDRESS(2,COLUMN())),OFFSET($BN$2,0,0,ROW()-1,60),ROW()-1,FALSE))</f>
        <v>214.47200000000001</v>
      </c>
      <c r="AI77">
        <f ca="1">IF(AND(ISNUMBER($AI$216),$B$145=1),$AI$216,HLOOKUP(INDIRECT(ADDRESS(2,COLUMN())),OFFSET($BN$2,0,0,ROW()-1,60),ROW()-1,FALSE))</f>
        <v>250.77699999999999</v>
      </c>
      <c r="AJ77">
        <f ca="1">IF(AND(ISNUMBER($AJ$216),$B$145=1),$AJ$216,HLOOKUP(INDIRECT(ADDRESS(2,COLUMN())),OFFSET($BN$2,0,0,ROW()-1,60),ROW()-1,FALSE))</f>
        <v>269.79199999999997</v>
      </c>
      <c r="AK77">
        <f ca="1">IF(AND(ISNUMBER($AK$216),$B$145=1),$AK$216,HLOOKUP(INDIRECT(ADDRESS(2,COLUMN())),OFFSET($BN$2,0,0,ROW()-1,60),ROW()-1,FALSE))</f>
        <v>270.14100000000002</v>
      </c>
      <c r="AL77">
        <f ca="1">IF(AND(ISNUMBER($AL$216),$B$145=1),$AL$216,HLOOKUP(INDIRECT(ADDRESS(2,COLUMN())),OFFSET($BN$2,0,0,ROW()-1,60),ROW()-1,FALSE))</f>
        <v>360.08100000000002</v>
      </c>
      <c r="AM77">
        <f ca="1">IF(AND(ISNUMBER($AM$216),$B$145=1),$AM$216,HLOOKUP(INDIRECT(ADDRESS(2,COLUMN())),OFFSET($BN$2,0,0,ROW()-1,60),ROW()-1,FALSE))</f>
        <v>445.51499999999999</v>
      </c>
      <c r="AN77">
        <f ca="1">IF(AND(ISNUMBER($AN$216),$B$145=1),$AN$216,HLOOKUP(INDIRECT(ADDRESS(2,COLUMN())),OFFSET($BN$2,0,0,ROW()-1,60),ROW()-1,FALSE))</f>
        <v>409.22899999999998</v>
      </c>
      <c r="AO77">
        <f ca="1">IF(AND(ISNUMBER($AO$216),$B$145=1),$AO$216,HLOOKUP(INDIRECT(ADDRESS(2,COLUMN())),OFFSET($BN$2,0,0,ROW()-1,60),ROW()-1,FALSE))</f>
        <v>378.76400000000001</v>
      </c>
      <c r="AP77">
        <f ca="1">IF(AND(ISNUMBER($AP$216),$B$145=1),$AP$216,HLOOKUP(INDIRECT(ADDRESS(2,COLUMN())),OFFSET($BN$2,0,0,ROW()-1,60),ROW()-1,FALSE))</f>
        <v>287.702</v>
      </c>
      <c r="AQ77">
        <f ca="1">IF(AND(ISNUMBER($AQ$216),$B$145=1),$AQ$216,HLOOKUP(INDIRECT(ADDRESS(2,COLUMN())),OFFSET($BN$2,0,0,ROW()-1,60),ROW()-1,FALSE))</f>
        <v>344.14100000000002</v>
      </c>
      <c r="AR77">
        <f ca="1">IF(AND(ISNUMBER($AR$216),$B$145=1),$AR$216,HLOOKUP(INDIRECT(ADDRESS(2,COLUMN())),OFFSET($BN$2,0,0,ROW()-1,60),ROW()-1,FALSE))</f>
        <v>282.113</v>
      </c>
      <c r="AS77">
        <f ca="1">IF(AND(ISNUMBER($AS$216),$B$145=1),$AS$216,HLOOKUP(INDIRECT(ADDRESS(2,COLUMN())),OFFSET($BN$2,0,0,ROW()-1,60),ROW()-1,FALSE))</f>
        <v>325.154</v>
      </c>
      <c r="AT77">
        <f ca="1">IF(AND(ISNUMBER($AT$216),$B$145=1),$AT$216,HLOOKUP(INDIRECT(ADDRESS(2,COLUMN())),OFFSET($BN$2,0,0,ROW()-1,60),ROW()-1,FALSE))</f>
        <v>271.48099999999999</v>
      </c>
      <c r="AU77">
        <f ca="1">IF(AND(ISNUMBER($AU$216),$B$145=1),$AU$216,HLOOKUP(INDIRECT(ADDRESS(2,COLUMN())),OFFSET($BN$2,0,0,ROW()-1,60),ROW()-1,FALSE))</f>
        <v>269.02</v>
      </c>
      <c r="AV77">
        <f ca="1">IF(AND(ISNUMBER($AV$216),$B$145=1),$AV$216,HLOOKUP(INDIRECT(ADDRESS(2,COLUMN())),OFFSET($BN$2,0,0,ROW()-1,60),ROW()-1,FALSE))</f>
        <v>262.303</v>
      </c>
      <c r="AW77">
        <f ca="1">IF(AND(ISNUMBER($AW$216),$B$145=1),$AW$216,HLOOKUP(INDIRECT(ADDRESS(2,COLUMN())),OFFSET($BN$2,0,0,ROW()-1,60),ROW()-1,FALSE))</f>
        <v>260.67099999999999</v>
      </c>
      <c r="AX77">
        <f ca="1">IF(AND(ISNUMBER($AX$216),$B$145=1),$AX$216,HLOOKUP(INDIRECT(ADDRESS(2,COLUMN())),OFFSET($BN$2,0,0,ROW()-1,60),ROW()-1,FALSE))</f>
        <v>230.58600000000001</v>
      </c>
      <c r="AY77">
        <f ca="1">IF(AND(ISNUMBER($AY$216),$B$145=1),$AY$216,HLOOKUP(INDIRECT(ADDRESS(2,COLUMN())),OFFSET($BN$2,0,0,ROW()-1,60),ROW()-1,FALSE))</f>
        <v>281.923</v>
      </c>
      <c r="AZ77">
        <f ca="1">IF(AND(ISNUMBER($AZ$216),$B$145=1),$AZ$216,HLOOKUP(INDIRECT(ADDRESS(2,COLUMN())),OFFSET($BN$2,0,0,ROW()-1,60),ROW()-1,FALSE))</f>
        <v>328.94299999999998</v>
      </c>
      <c r="BA77">
        <f ca="1">IF(AND(ISNUMBER($BA$216),$B$145=1),$BA$216,HLOOKUP(INDIRECT(ADDRESS(2,COLUMN())),OFFSET($BN$2,0,0,ROW()-1,60),ROW()-1,FALSE))</f>
        <v>368.45299999999997</v>
      </c>
      <c r="BB77">
        <f ca="1">IF(AND(ISNUMBER($BB$216),$B$145=1),$BB$216,HLOOKUP(INDIRECT(ADDRESS(2,COLUMN())),OFFSET($BN$2,0,0,ROW()-1,60),ROW()-1,FALSE))</f>
        <v>406.84899999999999</v>
      </c>
      <c r="BC77">
        <f ca="1">IF(AND(ISNUMBER($BC$216),$B$145=1),$BC$216,HLOOKUP(INDIRECT(ADDRESS(2,COLUMN())),OFFSET($BN$2,0,0,ROW()-1,60),ROW()-1,FALSE))</f>
        <v>435.19</v>
      </c>
      <c r="BD77">
        <f ca="1">IF(AND(ISNUMBER($BD$216),$B$145=1),$BD$216,HLOOKUP(INDIRECT(ADDRESS(2,COLUMN())),OFFSET($BN$2,0,0,ROW()-1,60),ROW()-1,FALSE))</f>
        <v>384.63200000000001</v>
      </c>
      <c r="BE77">
        <f ca="1">IF(AND(ISNUMBER($BE$216),$B$145=1),$BE$216,HLOOKUP(INDIRECT(ADDRESS(2,COLUMN())),OFFSET($BN$2,0,0,ROW()-1,60),ROW()-1,FALSE))</f>
        <v>348.18799999999999</v>
      </c>
      <c r="BF77">
        <f ca="1">IF(AND(ISNUMBER($BF$216),$B$145=1),$BF$216,HLOOKUP(INDIRECT(ADDRESS(2,COLUMN())),OFFSET($BN$2,0,0,ROW()-1,60),ROW()-1,FALSE))</f>
        <v>354.32799999999997</v>
      </c>
      <c r="BG77">
        <f ca="1">IF(AND(ISNUMBER($BG$216),$B$145=1),$BG$216,HLOOKUP(INDIRECT(ADDRESS(2,COLUMN())),OFFSET($BN$2,0,0,ROW()-1,60),ROW()-1,FALSE))</f>
        <v>411.26900000000001</v>
      </c>
      <c r="BH77">
        <f ca="1">IF(AND(ISNUMBER($BH$216),$B$145=1),$BH$216,HLOOKUP(INDIRECT(ADDRESS(2,COLUMN())),OFFSET($BN$2,0,0,ROW()-1,60),ROW()-1,FALSE))</f>
        <v>351.52300000000002</v>
      </c>
      <c r="BI77">
        <f ca="1">IF(AND(ISNUMBER($BI$216),$B$145=1),$BI$216,HLOOKUP(INDIRECT(ADDRESS(2,COLUMN())),OFFSET($BN$2,0,0,ROW()-1,60),ROW()-1,FALSE))</f>
        <v>389.286</v>
      </c>
      <c r="BJ77">
        <f ca="1">IF(AND(ISNUMBER($BJ$216),$B$145=1),$BJ$216,HLOOKUP(INDIRECT(ADDRESS(2,COLUMN())),OFFSET($BN$2,0,0,ROW()-1,60),ROW()-1,FALSE))</f>
        <v>448.42</v>
      </c>
      <c r="BK77">
        <f ca="1">IF(AND(ISNUMBER($BK$216),$B$145=1),$BK$216,HLOOKUP(INDIRECT(ADDRESS(2,COLUMN())),OFFSET($BN$2,0,0,ROW()-1,60),ROW()-1,FALSE))</f>
        <v>496.416</v>
      </c>
      <c r="BL77">
        <f ca="1">IF(AND(ISNUMBER($BL$216),$B$145=1),$BL$216,HLOOKUP(INDIRECT(ADDRESS(2,COLUMN())),OFFSET($BN$2,0,0,ROW()-1,60),ROW()-1,FALSE))</f>
        <v>441.62400000000002</v>
      </c>
      <c r="BM77" t="str">
        <f ca="1">IF(AND(ISNUMBER($BM$216),$B$145=1),$BM$216,HLOOKUP(INDIRECT(ADDRESS(2,COLUMN())),OFFSET($BN$2,0,0,ROW()-1,60),ROW()-1,FALSE))</f>
        <v/>
      </c>
      <c r="BN77">
        <f>288.964</f>
        <v>288.964</v>
      </c>
      <c r="BO77">
        <f>743.892</f>
        <v>743.89200000000005</v>
      </c>
      <c r="BP77">
        <f>530.01</f>
        <v>530.01</v>
      </c>
      <c r="BQ77">
        <f>425.528</f>
        <v>425.52800000000002</v>
      </c>
      <c r="BR77">
        <f>418.46</f>
        <v>418.46</v>
      </c>
      <c r="BS77">
        <f>585.553</f>
        <v>585.553</v>
      </c>
      <c r="BT77">
        <f>547.03</f>
        <v>547.03</v>
      </c>
      <c r="BU77">
        <f>320.653</f>
        <v>320.65300000000002</v>
      </c>
      <c r="BV77">
        <f>365.544</f>
        <v>365.54399999999998</v>
      </c>
      <c r="BW77">
        <f>448.87</f>
        <v>448.87</v>
      </c>
      <c r="BX77">
        <f>362.098</f>
        <v>362.09800000000001</v>
      </c>
      <c r="BY77">
        <f>581.9</f>
        <v>581.9</v>
      </c>
      <c r="BZ77">
        <f>641.386</f>
        <v>641.38599999999997</v>
      </c>
      <c r="CA77">
        <f>959.626</f>
        <v>959.62599999999998</v>
      </c>
      <c r="CB77">
        <f>1018.497</f>
        <v>1018.497</v>
      </c>
      <c r="CC77">
        <f>1023.41</f>
        <v>1023.41</v>
      </c>
      <c r="CD77">
        <f>1119.386</f>
        <v>1119.386</v>
      </c>
      <c r="CE77">
        <f>1132.485</f>
        <v>1132.4849999999999</v>
      </c>
      <c r="CF77">
        <f>1129.005</f>
        <v>1129.0050000000001</v>
      </c>
      <c r="CG77">
        <f>1098.525</f>
        <v>1098.5250000000001</v>
      </c>
      <c r="CH77">
        <f>544.941</f>
        <v>544.94100000000003</v>
      </c>
      <c r="CI77">
        <f>685.072</f>
        <v>685.072</v>
      </c>
      <c r="CJ77">
        <f>604.079</f>
        <v>604.07899999999995</v>
      </c>
      <c r="CK77">
        <f>418.365</f>
        <v>418.36500000000001</v>
      </c>
      <c r="CL77">
        <f>303.488</f>
        <v>303.488</v>
      </c>
      <c r="CM77">
        <f>247.972</f>
        <v>247.97200000000001</v>
      </c>
      <c r="CN77">
        <f>251.531</f>
        <v>251.53100000000001</v>
      </c>
      <c r="CO77">
        <f>168.897</f>
        <v>168.89699999999999</v>
      </c>
      <c r="CP77">
        <f>214.472</f>
        <v>214.47200000000001</v>
      </c>
      <c r="CQ77">
        <f>250.777</f>
        <v>250.77699999999999</v>
      </c>
      <c r="CR77">
        <f>269.792</f>
        <v>269.79199999999997</v>
      </c>
      <c r="CS77">
        <f>270.141</f>
        <v>270.14100000000002</v>
      </c>
      <c r="CT77">
        <f>360.081</f>
        <v>360.08100000000002</v>
      </c>
      <c r="CU77">
        <f>445.515</f>
        <v>445.51499999999999</v>
      </c>
      <c r="CV77">
        <f>409.229</f>
        <v>409.22899999999998</v>
      </c>
      <c r="CW77">
        <f>378.764</f>
        <v>378.76400000000001</v>
      </c>
      <c r="CX77">
        <f>287.702</f>
        <v>287.702</v>
      </c>
      <c r="CY77">
        <f>344.141</f>
        <v>344.14100000000002</v>
      </c>
      <c r="CZ77">
        <f>282.113</f>
        <v>282.113</v>
      </c>
      <c r="DA77">
        <f>325.154</f>
        <v>325.154</v>
      </c>
      <c r="DB77">
        <f>271.481</f>
        <v>271.48099999999999</v>
      </c>
      <c r="DC77">
        <f>269.02</f>
        <v>269.02</v>
      </c>
      <c r="DD77">
        <f>262.303</f>
        <v>262.303</v>
      </c>
      <c r="DE77">
        <f>260.671</f>
        <v>260.67099999999999</v>
      </c>
      <c r="DF77">
        <f>230.586</f>
        <v>230.58600000000001</v>
      </c>
      <c r="DG77">
        <f>281.923</f>
        <v>281.923</v>
      </c>
      <c r="DH77">
        <f>328.943</f>
        <v>328.94299999999998</v>
      </c>
      <c r="DI77">
        <f>368.453</f>
        <v>368.45299999999997</v>
      </c>
      <c r="DJ77">
        <f>406.849</f>
        <v>406.84899999999999</v>
      </c>
      <c r="DK77">
        <f>435.19</f>
        <v>435.19</v>
      </c>
      <c r="DL77">
        <f>384.632</f>
        <v>384.63200000000001</v>
      </c>
      <c r="DM77">
        <f>348.188</f>
        <v>348.18799999999999</v>
      </c>
      <c r="DN77">
        <f>354.328</f>
        <v>354.32799999999997</v>
      </c>
      <c r="DO77">
        <f>411.269</f>
        <v>411.26900000000001</v>
      </c>
      <c r="DP77">
        <f>351.523</f>
        <v>351.52300000000002</v>
      </c>
      <c r="DQ77">
        <f>389.286</f>
        <v>389.286</v>
      </c>
      <c r="DR77">
        <f>448.42</f>
        <v>448.42</v>
      </c>
      <c r="DS77">
        <f>496.416</f>
        <v>496.416</v>
      </c>
      <c r="DT77">
        <f>441.624</f>
        <v>441.62400000000002</v>
      </c>
      <c r="DU77" t="str">
        <f>""</f>
        <v/>
      </c>
    </row>
    <row r="78" spans="1:125" x14ac:dyDescent="0.25">
      <c r="A78" t="str">
        <f>"            JPMorgan Chase &amp; Co"</f>
        <v xml:space="preserve">            JPMorgan Chase &amp; Co</v>
      </c>
      <c r="B78" t="str">
        <f>"JPM US Equity"</f>
        <v>JPM US Equity</v>
      </c>
      <c r="C78" t="str">
        <f t="shared" si="9"/>
        <v>FC070</v>
      </c>
      <c r="D78" t="str">
        <f t="shared" si="10"/>
        <v>FDIC_TRADING_ACCT_ASSETS</v>
      </c>
      <c r="E78" t="str">
        <f t="shared" si="11"/>
        <v>Dynamic</v>
      </c>
      <c r="F78">
        <f ca="1">IF(AND(ISNUMBER($F$217),$B$145=1),$F$217,HLOOKUP(INDIRECT(ADDRESS(2,COLUMN())),OFFSET($BN$2,0,0,ROW()-1,60),ROW()-1,FALSE))</f>
        <v>636895</v>
      </c>
      <c r="G78">
        <f ca="1">IF(AND(ISNUMBER($G$217),$B$145=1),$G$217,HLOOKUP(INDIRECT(ADDRESS(2,COLUMN())),OFFSET($BN$2,0,0,ROW()-1,60),ROW()-1,FALSE))</f>
        <v>786596</v>
      </c>
      <c r="H78">
        <f ca="1">IF(AND(ISNUMBER($H$217),$B$145=1),$H$217,HLOOKUP(INDIRECT(ADDRESS(2,COLUMN())),OFFSET($BN$2,0,0,ROW()-1,60),ROW()-1,FALSE))</f>
        <v>733020</v>
      </c>
      <c r="I78">
        <f ca="1">IF(AND(ISNUMBER($I$217),$B$145=1),$I$217,HLOOKUP(INDIRECT(ADDRESS(2,COLUMN())),OFFSET($BN$2,0,0,ROW()-1,60),ROW()-1,FALSE))</f>
        <v>753569</v>
      </c>
      <c r="J78">
        <f ca="1">IF(AND(ISNUMBER($J$217),$B$145=1),$J$217,HLOOKUP(INDIRECT(ADDRESS(2,COLUMN())),OFFSET($BN$2,0,0,ROW()-1,60),ROW()-1,FALSE))</f>
        <v>539828</v>
      </c>
      <c r="K78">
        <f ca="1">IF(AND(ISNUMBER($K$217),$B$145=1),$K$217,HLOOKUP(INDIRECT(ADDRESS(2,COLUMN())),OFFSET($BN$2,0,0,ROW()-1,60),ROW()-1,FALSE))</f>
        <v>601267</v>
      </c>
      <c r="L78">
        <f ca="1">IF(AND(ISNUMBER($L$217),$B$145=1),$L$217,HLOOKUP(INDIRECT(ADDRESS(2,COLUMN())),OFFSET($BN$2,0,0,ROW()-1,60),ROW()-1,FALSE))</f>
        <v>636306</v>
      </c>
      <c r="M78">
        <f ca="1">IF(AND(ISNUMBER($M$217),$B$145=1),$M$217,HLOOKUP(INDIRECT(ADDRESS(2,COLUMN())),OFFSET($BN$2,0,0,ROW()-1,60),ROW()-1,FALSE))</f>
        <v>578152</v>
      </c>
      <c r="N78">
        <f ca="1">IF(AND(ISNUMBER($N$217),$B$145=1),$N$217,HLOOKUP(INDIRECT(ADDRESS(2,COLUMN())),OFFSET($BN$2,0,0,ROW()-1,60),ROW()-1,FALSE))</f>
        <v>452945</v>
      </c>
      <c r="O78">
        <f ca="1">IF(AND(ISNUMBER($O$217),$B$145=1),$O$217,HLOOKUP(INDIRECT(ADDRESS(2,COLUMN())),OFFSET($BN$2,0,0,ROW()-1,60),ROW()-1,FALSE))</f>
        <v>505619</v>
      </c>
      <c r="P78">
        <f ca="1">IF(AND(ISNUMBER($P$217),$B$145=1),$P$217,HLOOKUP(INDIRECT(ADDRESS(2,COLUMN())),OFFSET($BN$2,0,0,ROW()-1,60),ROW()-1,FALSE))</f>
        <v>464804</v>
      </c>
      <c r="Q78">
        <f ca="1">IF(AND(ISNUMBER($Q$217),$B$145=1),$Q$217,HLOOKUP(INDIRECT(ADDRESS(2,COLUMN())),OFFSET($BN$2,0,0,ROW()-1,60),ROW()-1,FALSE))</f>
        <v>510759</v>
      </c>
      <c r="R78">
        <f ca="1">IF(AND(ISNUMBER($R$217),$B$145=1),$R$217,HLOOKUP(INDIRECT(ADDRESS(2,COLUMN())),OFFSET($BN$2,0,0,ROW()-1,60),ROW()-1,FALSE))</f>
        <v>432705</v>
      </c>
      <c r="S78">
        <f ca="1">IF(AND(ISNUMBER($S$217),$B$145=1),$S$217,HLOOKUP(INDIRECT(ADDRESS(2,COLUMN())),OFFSET($BN$2,0,0,ROW()-1,60),ROW()-1,FALSE))</f>
        <v>514632</v>
      </c>
      <c r="T78">
        <f ca="1">IF(AND(ISNUMBER($T$217),$B$145=1),$T$217,HLOOKUP(INDIRECT(ADDRESS(2,COLUMN())),OFFSET($BN$2,0,0,ROW()-1,60),ROW()-1,FALSE))</f>
        <v>520090</v>
      </c>
      <c r="U78">
        <f ca="1">IF(AND(ISNUMBER($U$217),$B$145=1),$U$217,HLOOKUP(INDIRECT(ADDRESS(2,COLUMN())),OFFSET($BN$2,0,0,ROW()-1,60),ROW()-1,FALSE))</f>
        <v>543551</v>
      </c>
      <c r="V78">
        <f ca="1">IF(AND(ISNUMBER($V$217),$B$145=1),$V$217,HLOOKUP(INDIRECT(ADDRESS(2,COLUMN())),OFFSET($BN$2,0,0,ROW()-1,60),ROW()-1,FALSE))</f>
        <v>502399</v>
      </c>
      <c r="W78">
        <f ca="1">IF(AND(ISNUMBER($W$217),$B$145=1),$W$217,HLOOKUP(INDIRECT(ADDRESS(2,COLUMN())),OFFSET($BN$2,0,0,ROW()-1,60),ROW()-1,FALSE))</f>
        <v>504604</v>
      </c>
      <c r="X78">
        <f ca="1">IF(AND(ISNUMBER($X$217),$B$145=1),$X$217,HLOOKUP(INDIRECT(ADDRESS(2,COLUMN())),OFFSET($BN$2,0,0,ROW()-1,60),ROW()-1,FALSE))</f>
        <v>524920</v>
      </c>
      <c r="Y78">
        <f ca="1">IF(AND(ISNUMBER($Y$217),$B$145=1),$Y$217,HLOOKUP(INDIRECT(ADDRESS(2,COLUMN())),OFFSET($BN$2,0,0,ROW()-1,60),ROW()-1,FALSE))</f>
        <v>547862</v>
      </c>
      <c r="Z78">
        <f ca="1">IF(AND(ISNUMBER($Z$217),$B$145=1),$Z$217,HLOOKUP(INDIRECT(ADDRESS(2,COLUMN())),OFFSET($BN$2,0,0,ROW()-1,60),ROW()-1,FALSE))</f>
        <v>410892</v>
      </c>
      <c r="AA78">
        <f ca="1">IF(AND(ISNUMBER($AA$217),$B$145=1),$AA$217,HLOOKUP(INDIRECT(ADDRESS(2,COLUMN())),OFFSET($BN$2,0,0,ROW()-1,60),ROW()-1,FALSE))</f>
        <v>495649</v>
      </c>
      <c r="AB78">
        <f ca="1">IF(AND(ISNUMBER($AB$217),$B$145=1),$AB$217,HLOOKUP(INDIRECT(ADDRESS(2,COLUMN())),OFFSET($BN$2,0,0,ROW()-1,60),ROW()-1,FALSE))</f>
        <v>523171</v>
      </c>
      <c r="AC78">
        <f ca="1">IF(AND(ISNUMBER($AC$217),$B$145=1),$AC$217,HLOOKUP(INDIRECT(ADDRESS(2,COLUMN())),OFFSET($BN$2,0,0,ROW()-1,60),ROW()-1,FALSE))</f>
        <v>533240</v>
      </c>
      <c r="AD78">
        <f ca="1">IF(AND(ISNUMBER($AD$217),$B$145=1),$AD$217,HLOOKUP(INDIRECT(ADDRESS(2,COLUMN())),OFFSET($BN$2,0,0,ROW()-1,60),ROW()-1,FALSE))</f>
        <v>413541</v>
      </c>
      <c r="AE78">
        <f ca="1">IF(AND(ISNUMBER($AE$217),$B$145=1),$AE$217,HLOOKUP(INDIRECT(ADDRESS(2,COLUMN())),OFFSET($BN$2,0,0,ROW()-1,60),ROW()-1,FALSE))</f>
        <v>419681</v>
      </c>
      <c r="AF78">
        <f ca="1">IF(AND(ISNUMBER($AF$217),$B$145=1),$AF$217,HLOOKUP(INDIRECT(ADDRESS(2,COLUMN())),OFFSET($BN$2,0,0,ROW()-1,60),ROW()-1,FALSE))</f>
        <v>418655</v>
      </c>
      <c r="AG78">
        <f ca="1">IF(AND(ISNUMBER($AG$217),$B$145=1),$AG$217,HLOOKUP(INDIRECT(ADDRESS(2,COLUMN())),OFFSET($BN$2,0,0,ROW()-1,60),ROW()-1,FALSE))</f>
        <v>411999</v>
      </c>
      <c r="AH78">
        <f ca="1">IF(AND(ISNUMBER($AH$217),$B$145=1),$AH$217,HLOOKUP(INDIRECT(ADDRESS(2,COLUMN())),OFFSET($BN$2,0,0,ROW()-1,60),ROW()-1,FALSE))</f>
        <v>381515</v>
      </c>
      <c r="AI78">
        <f ca="1">IF(AND(ISNUMBER($AI$217),$B$145=1),$AI$217,HLOOKUP(INDIRECT(ADDRESS(2,COLUMN())),OFFSET($BN$2,0,0,ROW()-1,60),ROW()-1,FALSE))</f>
        <v>420052</v>
      </c>
      <c r="AJ78">
        <f ca="1">IF(AND(ISNUMBER($AJ$217),$B$145=1),$AJ$217,HLOOKUP(INDIRECT(ADDRESS(2,COLUMN())),OFFSET($BN$2,0,0,ROW()-1,60),ROW()-1,FALSE))</f>
        <v>406722</v>
      </c>
      <c r="AK78">
        <f ca="1">IF(AND(ISNUMBER($AK$217),$B$145=1),$AK$217,HLOOKUP(INDIRECT(ADDRESS(2,COLUMN())),OFFSET($BN$2,0,0,ROW()-1,60),ROW()-1,FALSE))</f>
        <v>402216</v>
      </c>
      <c r="AL78">
        <f ca="1">IF(AND(ISNUMBER($AL$217),$B$145=1),$AL$217,HLOOKUP(INDIRECT(ADDRESS(2,COLUMN())),OFFSET($BN$2,0,0,ROW()-1,60),ROW()-1,FALSE))</f>
        <v>371794</v>
      </c>
      <c r="AM78">
        <f ca="1">IF(AND(ISNUMBER($AM$217),$B$145=1),$AM$217,HLOOKUP(INDIRECT(ADDRESS(2,COLUMN())),OFFSET($BN$2,0,0,ROW()-1,60),ROW()-1,FALSE))</f>
        <v>374381</v>
      </c>
      <c r="AN78">
        <f ca="1">IF(AND(ISNUMBER($AN$217),$B$145=1),$AN$217,HLOOKUP(INDIRECT(ADDRESS(2,COLUMN())),OFFSET($BN$2,0,0,ROW()-1,60),ROW()-1,FALSE))</f>
        <v>380256</v>
      </c>
      <c r="AO78">
        <f ca="1">IF(AND(ISNUMBER($AO$217),$B$145=1),$AO$217,HLOOKUP(INDIRECT(ADDRESS(2,COLUMN())),OFFSET($BN$2,0,0,ROW()-1,60),ROW()-1,FALSE))</f>
        <v>365741</v>
      </c>
      <c r="AP78">
        <f ca="1">IF(AND(ISNUMBER($AP$217),$B$145=1),$AP$217,HLOOKUP(INDIRECT(ADDRESS(2,COLUMN())),OFFSET($BN$2,0,0,ROW()-1,60),ROW()-1,FALSE))</f>
        <v>343545</v>
      </c>
      <c r="AQ78">
        <f ca="1">IF(AND(ISNUMBER($AQ$217),$B$145=1),$AQ$217,HLOOKUP(INDIRECT(ADDRESS(2,COLUMN())),OFFSET($BN$2,0,0,ROW()-1,60),ROW()-1,FALSE))</f>
        <v>361704</v>
      </c>
      <c r="AR78">
        <f ca="1">IF(AND(ISNUMBER($AR$217),$B$145=1),$AR$217,HLOOKUP(INDIRECT(ADDRESS(2,COLUMN())),OFFSET($BN$2,0,0,ROW()-1,60),ROW()-1,FALSE))</f>
        <v>376262</v>
      </c>
      <c r="AS78">
        <f ca="1">IF(AND(ISNUMBER($AS$217),$B$145=1),$AS$217,HLOOKUP(INDIRECT(ADDRESS(2,COLUMN())),OFFSET($BN$2,0,0,ROW()-1,60),ROW()-1,FALSE))</f>
        <v>398977</v>
      </c>
      <c r="AT78">
        <f ca="1">IF(AND(ISNUMBER($AT$217),$B$145=1),$AT$217,HLOOKUP(INDIRECT(ADDRESS(2,COLUMN())),OFFSET($BN$2,0,0,ROW()-1,60),ROW()-1,FALSE))</f>
        <v>398987</v>
      </c>
      <c r="AU78">
        <f ca="1">IF(AND(ISNUMBER($AU$217),$B$145=1),$AU$217,HLOOKUP(INDIRECT(ADDRESS(2,COLUMN())),OFFSET($BN$2,0,0,ROW()-1,60),ROW()-1,FALSE))</f>
        <v>410650</v>
      </c>
      <c r="AV78">
        <f ca="1">IF(AND(ISNUMBER($AV$217),$B$145=1),$AV$217,HLOOKUP(INDIRECT(ADDRESS(2,COLUMN())),OFFSET($BN$2,0,0,ROW()-1,60),ROW()-1,FALSE))</f>
        <v>392522</v>
      </c>
      <c r="AW78">
        <f ca="1">IF(AND(ISNUMBER($AW$217),$B$145=1),$AW$217,HLOOKUP(INDIRECT(ADDRESS(2,COLUMN())),OFFSET($BN$2,0,0,ROW()-1,60),ROW()-1,FALSE))</f>
        <v>375191</v>
      </c>
      <c r="AX78">
        <f ca="1">IF(AND(ISNUMBER($AX$217),$B$145=1),$AX$217,HLOOKUP(INDIRECT(ADDRESS(2,COLUMN())),OFFSET($BN$2,0,0,ROW()-1,60),ROW()-1,FALSE))</f>
        <v>374636</v>
      </c>
      <c r="AY78">
        <f ca="1">IF(AND(ISNUMBER($AY$217),$B$145=1),$AY$217,HLOOKUP(INDIRECT(ADDRESS(2,COLUMN())),OFFSET($BN$2,0,0,ROW()-1,60),ROW()-1,FALSE))</f>
        <v>383320</v>
      </c>
      <c r="AZ78">
        <f ca="1">IF(AND(ISNUMBER($AZ$217),$B$145=1),$AZ$217,HLOOKUP(INDIRECT(ADDRESS(2,COLUMN())),OFFSET($BN$2,0,0,ROW()-1,60),ROW()-1,FALSE))</f>
        <v>401366</v>
      </c>
      <c r="BA78">
        <f ca="1">IF(AND(ISNUMBER($BA$217),$B$145=1),$BA$217,HLOOKUP(INDIRECT(ADDRESS(2,COLUMN())),OFFSET($BN$2,0,0,ROW()-1,60),ROW()-1,FALSE))</f>
        <v>430931</v>
      </c>
      <c r="BB78">
        <f ca="1">IF(AND(ISNUMBER($BB$217),$B$145=1),$BB$217,HLOOKUP(INDIRECT(ADDRESS(2,COLUMN())),OFFSET($BN$2,0,0,ROW()-1,60),ROW()-1,FALSE))</f>
        <v>449226</v>
      </c>
      <c r="BC78">
        <f ca="1">IF(AND(ISNUMBER($BC$217),$B$145=1),$BC$217,HLOOKUP(INDIRECT(ADDRESS(2,COLUMN())),OFFSET($BN$2,0,0,ROW()-1,60),ROW()-1,FALSE))</f>
        <v>445456</v>
      </c>
      <c r="BD78">
        <f ca="1">IF(AND(ISNUMBER($BD$217),$B$145=1),$BD$217,HLOOKUP(INDIRECT(ADDRESS(2,COLUMN())),OFFSET($BN$2,0,0,ROW()-1,60),ROW()-1,FALSE))</f>
        <v>414665</v>
      </c>
      <c r="BE78">
        <f ca="1">IF(AND(ISNUMBER($BE$217),$B$145=1),$BE$217,HLOOKUP(INDIRECT(ADDRESS(2,COLUMN())),OFFSET($BN$2,0,0,ROW()-1,60),ROW()-1,FALSE))</f>
        <v>453761</v>
      </c>
      <c r="BF78">
        <f ca="1">IF(AND(ISNUMBER($BF$217),$B$145=1),$BF$217,HLOOKUP(INDIRECT(ADDRESS(2,COLUMN())),OFFSET($BN$2,0,0,ROW()-1,60),ROW()-1,FALSE))</f>
        <v>441033</v>
      </c>
      <c r="BG78">
        <f ca="1">IF(AND(ISNUMBER($BG$217),$B$145=1),$BG$217,HLOOKUP(INDIRECT(ADDRESS(2,COLUMN())),OFFSET($BN$2,0,0,ROW()-1,60),ROW()-1,FALSE))</f>
        <v>458671</v>
      </c>
      <c r="BH78">
        <f ca="1">IF(AND(ISNUMBER($BH$217),$B$145=1),$BH$217,HLOOKUP(INDIRECT(ADDRESS(2,COLUMN())),OFFSET($BN$2,0,0,ROW()-1,60),ROW()-1,FALSE))</f>
        <v>457884</v>
      </c>
      <c r="BI78">
        <f ca="1">IF(AND(ISNUMBER($BI$217),$B$145=1),$BI$217,HLOOKUP(INDIRECT(ADDRESS(2,COLUMN())),OFFSET($BN$2,0,0,ROW()-1,60),ROW()-1,FALSE))</f>
        <v>500089</v>
      </c>
      <c r="BJ78">
        <f ca="1">IF(AND(ISNUMBER($BJ$217),$B$145=1),$BJ$217,HLOOKUP(INDIRECT(ADDRESS(2,COLUMN())),OFFSET($BN$2,0,0,ROW()-1,60),ROW()-1,FALSE))</f>
        <v>489892</v>
      </c>
      <c r="BK78">
        <f ca="1">IF(AND(ISNUMBER($BK$217),$B$145=1),$BK$217,HLOOKUP(INDIRECT(ADDRESS(2,COLUMN())),OFFSET($BN$2,0,0,ROW()-1,60),ROW()-1,FALSE))</f>
        <v>475515</v>
      </c>
      <c r="BL78">
        <f ca="1">IF(AND(ISNUMBER($BL$217),$B$145=1),$BL$217,HLOOKUP(INDIRECT(ADDRESS(2,COLUMN())),OFFSET($BN$2,0,0,ROW()-1,60),ROW()-1,FALSE))</f>
        <v>397508</v>
      </c>
      <c r="BM78" t="str">
        <f ca="1">IF(AND(ISNUMBER($BM$217),$B$145=1),$BM$217,HLOOKUP(INDIRECT(ADDRESS(2,COLUMN())),OFFSET($BN$2,0,0,ROW()-1,60),ROW()-1,FALSE))</f>
        <v/>
      </c>
      <c r="BN78">
        <f>636895</f>
        <v>636895</v>
      </c>
      <c r="BO78">
        <f>786596</f>
        <v>786596</v>
      </c>
      <c r="BP78">
        <f>733020</f>
        <v>733020</v>
      </c>
      <c r="BQ78">
        <f>753569</f>
        <v>753569</v>
      </c>
      <c r="BR78">
        <f>539828</f>
        <v>539828</v>
      </c>
      <c r="BS78">
        <f>601267</f>
        <v>601267</v>
      </c>
      <c r="BT78">
        <f>636306</f>
        <v>636306</v>
      </c>
      <c r="BU78">
        <f>578152</f>
        <v>578152</v>
      </c>
      <c r="BV78">
        <f>452945</f>
        <v>452945</v>
      </c>
      <c r="BW78">
        <f>505619</f>
        <v>505619</v>
      </c>
      <c r="BX78">
        <f>464804</f>
        <v>464804</v>
      </c>
      <c r="BY78">
        <f>510759</f>
        <v>510759</v>
      </c>
      <c r="BZ78">
        <f>432705</f>
        <v>432705</v>
      </c>
      <c r="CA78">
        <f>514632</f>
        <v>514632</v>
      </c>
      <c r="CB78">
        <f>520090</f>
        <v>520090</v>
      </c>
      <c r="CC78">
        <f>543551</f>
        <v>543551</v>
      </c>
      <c r="CD78">
        <f>502399</f>
        <v>502399</v>
      </c>
      <c r="CE78">
        <f>504604</f>
        <v>504604</v>
      </c>
      <c r="CF78">
        <f>524920</f>
        <v>524920</v>
      </c>
      <c r="CG78">
        <f>547862</f>
        <v>547862</v>
      </c>
      <c r="CH78">
        <f>410892</f>
        <v>410892</v>
      </c>
      <c r="CI78">
        <f>495649</f>
        <v>495649</v>
      </c>
      <c r="CJ78">
        <f>523171</f>
        <v>523171</v>
      </c>
      <c r="CK78">
        <f>533240</f>
        <v>533240</v>
      </c>
      <c r="CL78">
        <f>413541</f>
        <v>413541</v>
      </c>
      <c r="CM78">
        <f>419681</f>
        <v>419681</v>
      </c>
      <c r="CN78">
        <f>418655</f>
        <v>418655</v>
      </c>
      <c r="CO78">
        <f>411999</f>
        <v>411999</v>
      </c>
      <c r="CP78">
        <f>381515</f>
        <v>381515</v>
      </c>
      <c r="CQ78">
        <f>420052</f>
        <v>420052</v>
      </c>
      <c r="CR78">
        <f>406722</f>
        <v>406722</v>
      </c>
      <c r="CS78">
        <f>402216</f>
        <v>402216</v>
      </c>
      <c r="CT78">
        <f>371794</f>
        <v>371794</v>
      </c>
      <c r="CU78">
        <f>374381</f>
        <v>374381</v>
      </c>
      <c r="CV78">
        <f>380256</f>
        <v>380256</v>
      </c>
      <c r="CW78">
        <f>365741</f>
        <v>365741</v>
      </c>
      <c r="CX78">
        <f>343545</f>
        <v>343545</v>
      </c>
      <c r="CY78">
        <f>361704</f>
        <v>361704</v>
      </c>
      <c r="CZ78">
        <f>376262</f>
        <v>376262</v>
      </c>
      <c r="DA78">
        <f>398977</f>
        <v>398977</v>
      </c>
      <c r="DB78">
        <f>398987</f>
        <v>398987</v>
      </c>
      <c r="DC78">
        <f>410650</f>
        <v>410650</v>
      </c>
      <c r="DD78">
        <f>392522</f>
        <v>392522</v>
      </c>
      <c r="DE78">
        <f>375191</f>
        <v>375191</v>
      </c>
      <c r="DF78">
        <f>374636</f>
        <v>374636</v>
      </c>
      <c r="DG78">
        <f>383320</f>
        <v>383320</v>
      </c>
      <c r="DH78">
        <f>401366</f>
        <v>401366</v>
      </c>
      <c r="DI78">
        <f>430931</f>
        <v>430931</v>
      </c>
      <c r="DJ78">
        <f>449226</f>
        <v>449226</v>
      </c>
      <c r="DK78">
        <f>445456</f>
        <v>445456</v>
      </c>
      <c r="DL78">
        <f>414665</f>
        <v>414665</v>
      </c>
      <c r="DM78">
        <f>453761</f>
        <v>453761</v>
      </c>
      <c r="DN78">
        <f>441033</f>
        <v>441033</v>
      </c>
      <c r="DO78">
        <f>458671</f>
        <v>458671</v>
      </c>
      <c r="DP78">
        <f>457884</f>
        <v>457884</v>
      </c>
      <c r="DQ78">
        <f>500089</f>
        <v>500089</v>
      </c>
      <c r="DR78">
        <f>489892</f>
        <v>489892</v>
      </c>
      <c r="DS78">
        <f>475515</f>
        <v>475515</v>
      </c>
      <c r="DT78">
        <f>397508</f>
        <v>397508</v>
      </c>
      <c r="DU78" t="str">
        <f>""</f>
        <v/>
      </c>
    </row>
    <row r="79" spans="1:125" x14ac:dyDescent="0.25">
      <c r="A79" t="str">
        <f>"            KeyCorp"</f>
        <v xml:space="preserve">            KeyCorp</v>
      </c>
      <c r="B79" t="str">
        <f>"KEY US Equity"</f>
        <v>KEY US Equity</v>
      </c>
      <c r="C79" t="str">
        <f t="shared" si="9"/>
        <v>FC070</v>
      </c>
      <c r="D79" t="str">
        <f t="shared" si="10"/>
        <v>FDIC_TRADING_ACCT_ASSETS</v>
      </c>
      <c r="E79" t="str">
        <f t="shared" si="11"/>
        <v>Dynamic</v>
      </c>
      <c r="F79">
        <f ca="1">IF(AND(ISNUMBER($F$218),$B$145=1),$F$218,HLOOKUP(INDIRECT(ADDRESS(2,COLUMN())),OFFSET($BN$2,0,0,ROW()-1,60),ROW()-1,FALSE))</f>
        <v>1537.377</v>
      </c>
      <c r="G79">
        <f ca="1">IF(AND(ISNUMBER($G$218),$B$145=1),$G$218,HLOOKUP(INDIRECT(ADDRESS(2,COLUMN())),OFFSET($BN$2,0,0,ROW()-1,60),ROW()-1,FALSE))</f>
        <v>1615.8789999999999</v>
      </c>
      <c r="H79">
        <f ca="1">IF(AND(ISNUMBER($H$218),$B$145=1),$H$218,HLOOKUP(INDIRECT(ADDRESS(2,COLUMN())),OFFSET($BN$2,0,0,ROW()-1,60),ROW()-1,FALSE))</f>
        <v>1443.2909999999999</v>
      </c>
      <c r="I79">
        <f ca="1">IF(AND(ISNUMBER($I$218),$B$145=1),$I$218,HLOOKUP(INDIRECT(ADDRESS(2,COLUMN())),OFFSET($BN$2,0,0,ROW()-1,60),ROW()-1,FALSE))</f>
        <v>1376.277</v>
      </c>
      <c r="J79">
        <f ca="1">IF(AND(ISNUMBER($J$218),$B$145=1),$J$218,HLOOKUP(INDIRECT(ADDRESS(2,COLUMN())),OFFSET($BN$2,0,0,ROW()-1,60),ROW()-1,FALSE))</f>
        <v>1309.194</v>
      </c>
      <c r="K79">
        <f ca="1">IF(AND(ISNUMBER($K$218),$B$145=1),$K$218,HLOOKUP(INDIRECT(ADDRESS(2,COLUMN())),OFFSET($BN$2,0,0,ROW()-1,60),ROW()-1,FALSE))</f>
        <v>1729.203</v>
      </c>
      <c r="L79">
        <f ca="1">IF(AND(ISNUMBER($L$218),$B$145=1),$L$218,HLOOKUP(INDIRECT(ADDRESS(2,COLUMN())),OFFSET($BN$2,0,0,ROW()-1,60),ROW()-1,FALSE))</f>
        <v>1427.58</v>
      </c>
      <c r="M79">
        <f ca="1">IF(AND(ISNUMBER($M$218),$B$145=1),$M$218,HLOOKUP(INDIRECT(ADDRESS(2,COLUMN())),OFFSET($BN$2,0,0,ROW()-1,60),ROW()-1,FALSE))</f>
        <v>1498.8150000000001</v>
      </c>
      <c r="N79">
        <f ca="1">IF(AND(ISNUMBER($N$218),$B$145=1),$N$218,HLOOKUP(INDIRECT(ADDRESS(2,COLUMN())),OFFSET($BN$2,0,0,ROW()-1,60),ROW()-1,FALSE))</f>
        <v>1755.36</v>
      </c>
      <c r="O79">
        <f ca="1">IF(AND(ISNUMBER($O$218),$B$145=1),$O$218,HLOOKUP(INDIRECT(ADDRESS(2,COLUMN())),OFFSET($BN$2,0,0,ROW()-1,60),ROW()-1,FALSE))</f>
        <v>2603.86</v>
      </c>
      <c r="P79">
        <f ca="1">IF(AND(ISNUMBER($P$218),$B$145=1),$P$218,HLOOKUP(INDIRECT(ADDRESS(2,COLUMN())),OFFSET($BN$2,0,0,ROW()-1,60),ROW()-1,FALSE))</f>
        <v>3387.8470000000002</v>
      </c>
      <c r="Q79">
        <f ca="1">IF(AND(ISNUMBER($Q$218),$B$145=1),$Q$218,HLOOKUP(INDIRECT(ADDRESS(2,COLUMN())),OFFSET($BN$2,0,0,ROW()-1,60),ROW()-1,FALSE))</f>
        <v>3487.48</v>
      </c>
      <c r="R79">
        <f ca="1">IF(AND(ISNUMBER($R$218),$B$145=1),$R$218,HLOOKUP(INDIRECT(ADDRESS(2,COLUMN())),OFFSET($BN$2,0,0,ROW()-1,60),ROW()-1,FALSE))</f>
        <v>2588.0659999999998</v>
      </c>
      <c r="S79">
        <f ca="1">IF(AND(ISNUMBER($S$218),$B$145=1),$S$218,HLOOKUP(INDIRECT(ADDRESS(2,COLUMN())),OFFSET($BN$2,0,0,ROW()-1,60),ROW()-1,FALSE))</f>
        <v>3370.9650000000001</v>
      </c>
      <c r="T79">
        <f ca="1">IF(AND(ISNUMBER($T$218),$B$145=1),$T$218,HLOOKUP(INDIRECT(ADDRESS(2,COLUMN())),OFFSET($BN$2,0,0,ROW()-1,60),ROW()-1,FALSE))</f>
        <v>2914.9450000000002</v>
      </c>
      <c r="U79">
        <f ca="1">IF(AND(ISNUMBER($U$218),$B$145=1),$U$218,HLOOKUP(INDIRECT(ADDRESS(2,COLUMN())),OFFSET($BN$2,0,0,ROW()-1,60),ROW()-1,FALSE))</f>
        <v>2232.7890000000002</v>
      </c>
      <c r="V79">
        <f ca="1">IF(AND(ISNUMBER($V$218),$B$145=1),$V$218,HLOOKUP(INDIRECT(ADDRESS(2,COLUMN())),OFFSET($BN$2,0,0,ROW()-1,60),ROW()-1,FALSE))</f>
        <v>2410.788</v>
      </c>
      <c r="W79">
        <f ca="1">IF(AND(ISNUMBER($W$218),$B$145=1),$W$218,HLOOKUP(INDIRECT(ADDRESS(2,COLUMN())),OFFSET($BN$2,0,0,ROW()-1,60),ROW()-1,FALSE))</f>
        <v>2574.203</v>
      </c>
      <c r="X79">
        <f ca="1">IF(AND(ISNUMBER($X$218),$B$145=1),$X$218,HLOOKUP(INDIRECT(ADDRESS(2,COLUMN())),OFFSET($BN$2,0,0,ROW()-1,60),ROW()-1,FALSE))</f>
        <v>2618.8429999999998</v>
      </c>
      <c r="Y79">
        <f ca="1">IF(AND(ISNUMBER($Y$218),$B$145=1),$Y$218,HLOOKUP(INDIRECT(ADDRESS(2,COLUMN())),OFFSET($BN$2,0,0,ROW()-1,60),ROW()-1,FALSE))</f>
        <v>2802.527</v>
      </c>
      <c r="Z79">
        <f ca="1">IF(AND(ISNUMBER($Z$218),$B$145=1),$Z$218,HLOOKUP(INDIRECT(ADDRESS(2,COLUMN())),OFFSET($BN$2,0,0,ROW()-1,60),ROW()-1,FALSE))</f>
        <v>1754.6880000000001</v>
      </c>
      <c r="AA79">
        <f ca="1">IF(AND(ISNUMBER($AA$218),$B$145=1),$AA$218,HLOOKUP(INDIRECT(ADDRESS(2,COLUMN())),OFFSET($BN$2,0,0,ROW()-1,60),ROW()-1,FALSE))</f>
        <v>1990.943</v>
      </c>
      <c r="AB79">
        <f ca="1">IF(AND(ISNUMBER($AB$218),$B$145=1),$AB$218,HLOOKUP(INDIRECT(ADDRESS(2,COLUMN())),OFFSET($BN$2,0,0,ROW()-1,60),ROW()-1,FALSE))</f>
        <v>1719.268</v>
      </c>
      <c r="AC79">
        <f ca="1">IF(AND(ISNUMBER($AC$218),$B$145=1),$AC$218,HLOOKUP(INDIRECT(ADDRESS(2,COLUMN())),OFFSET($BN$2,0,0,ROW()-1,60),ROW()-1,FALSE))</f>
        <v>1468.2539999999999</v>
      </c>
      <c r="AD79">
        <f ca="1">IF(AND(ISNUMBER($AD$218),$B$145=1),$AD$218,HLOOKUP(INDIRECT(ADDRESS(2,COLUMN())),OFFSET($BN$2,0,0,ROW()-1,60),ROW()-1,FALSE))</f>
        <v>1311.1880000000001</v>
      </c>
      <c r="AE79">
        <f ca="1">IF(AND(ISNUMBER($AE$218),$B$145=1),$AE$218,HLOOKUP(INDIRECT(ADDRESS(2,COLUMN())),OFFSET($BN$2,0,0,ROW()-1,60),ROW()-1,FALSE))</f>
        <v>1658.1579999999999</v>
      </c>
      <c r="AF79">
        <f ca="1">IF(AND(ISNUMBER($AF$218),$B$145=1),$AF$218,HLOOKUP(INDIRECT(ADDRESS(2,COLUMN())),OFFSET($BN$2,0,0,ROW()-1,60),ROW()-1,FALSE))</f>
        <v>1523.9580000000001</v>
      </c>
      <c r="AG79">
        <f ca="1">IF(AND(ISNUMBER($AG$218),$B$145=1),$AG$218,HLOOKUP(INDIRECT(ADDRESS(2,COLUMN())),OFFSET($BN$2,0,0,ROW()-1,60),ROW()-1,FALSE))</f>
        <v>1371.383</v>
      </c>
      <c r="AH79">
        <f ca="1">IF(AND(ISNUMBER($AH$218),$B$145=1),$AH$218,HLOOKUP(INDIRECT(ADDRESS(2,COLUMN())),OFFSET($BN$2,0,0,ROW()-1,60),ROW()-1,FALSE))</f>
        <v>1517.19</v>
      </c>
      <c r="AI79">
        <f ca="1">IF(AND(ISNUMBER($AI$218),$B$145=1),$AI$218,HLOOKUP(INDIRECT(ADDRESS(2,COLUMN())),OFFSET($BN$2,0,0,ROW()-1,60),ROW()-1,FALSE))</f>
        <v>1380.962</v>
      </c>
      <c r="AJ79">
        <f ca="1">IF(AND(ISNUMBER($AJ$218),$B$145=1),$AJ$218,HLOOKUP(INDIRECT(ADDRESS(2,COLUMN())),OFFSET($BN$2,0,0,ROW()-1,60),ROW()-1,FALSE))</f>
        <v>1689.4559999999999</v>
      </c>
      <c r="AK79">
        <f ca="1">IF(AND(ISNUMBER($AK$218),$B$145=1),$AK$218,HLOOKUP(INDIRECT(ADDRESS(2,COLUMN())),OFFSET($BN$2,0,0,ROW()-1,60),ROW()-1,FALSE))</f>
        <v>1472.067</v>
      </c>
      <c r="AL79">
        <f ca="1">IF(AND(ISNUMBER($AL$218),$B$145=1),$AL$218,HLOOKUP(INDIRECT(ADDRESS(2,COLUMN())),OFFSET($BN$2,0,0,ROW()-1,60),ROW()-1,FALSE))</f>
        <v>1585.1079999999999</v>
      </c>
      <c r="AM79">
        <f ca="1">IF(AND(ISNUMBER($AM$218),$B$145=1),$AM$218,HLOOKUP(INDIRECT(ADDRESS(2,COLUMN())),OFFSET($BN$2,0,0,ROW()-1,60),ROW()-1,FALSE))</f>
        <v>1938.3009999999999</v>
      </c>
      <c r="AN79">
        <f ca="1">IF(AND(ISNUMBER($AN$218),$B$145=1),$AN$218,HLOOKUP(INDIRECT(ADDRESS(2,COLUMN())),OFFSET($BN$2,0,0,ROW()-1,60),ROW()-1,FALSE))</f>
        <v>1801.1089999999999</v>
      </c>
      <c r="AO79">
        <f ca="1">IF(AND(ISNUMBER($AO$218),$B$145=1),$AO$218,HLOOKUP(INDIRECT(ADDRESS(2,COLUMN())),OFFSET($BN$2,0,0,ROW()-1,60),ROW()-1,FALSE))</f>
        <v>1553.586</v>
      </c>
      <c r="AP79">
        <f ca="1">IF(AND(ISNUMBER($AP$218),$B$145=1),$AP$218,HLOOKUP(INDIRECT(ADDRESS(2,COLUMN())),OFFSET($BN$2,0,0,ROW()-1,60),ROW()-1,FALSE))</f>
        <v>1340.5440000000001</v>
      </c>
      <c r="AQ79">
        <f ca="1">IF(AND(ISNUMBER($AQ$218),$B$145=1),$AQ$218,HLOOKUP(INDIRECT(ADDRESS(2,COLUMN())),OFFSET($BN$2,0,0,ROW()-1,60),ROW()-1,FALSE))</f>
        <v>1446.1559999999999</v>
      </c>
      <c r="AR79">
        <f ca="1">IF(AND(ISNUMBER($AR$218),$B$145=1),$AR$218,HLOOKUP(INDIRECT(ADDRESS(2,COLUMN())),OFFSET($BN$2,0,0,ROW()-1,60),ROW()-1,FALSE))</f>
        <v>1134.106</v>
      </c>
      <c r="AS79">
        <f ca="1">IF(AND(ISNUMBER($AS$218),$B$145=1),$AS$218,HLOOKUP(INDIRECT(ADDRESS(2,COLUMN())),OFFSET($BN$2,0,0,ROW()-1,60),ROW()-1,FALSE))</f>
        <v>1426.5719999999999</v>
      </c>
      <c r="AT79">
        <f ca="1">IF(AND(ISNUMBER($AT$218),$B$145=1),$AT$218,HLOOKUP(INDIRECT(ADDRESS(2,COLUMN())),OFFSET($BN$2,0,0,ROW()-1,60),ROW()-1,FALSE))</f>
        <v>1305.135</v>
      </c>
      <c r="AU79">
        <f ca="1">IF(AND(ISNUMBER($AU$218),$B$145=1),$AU$218,HLOOKUP(INDIRECT(ADDRESS(2,COLUMN())),OFFSET($BN$2,0,0,ROW()-1,60),ROW()-1,FALSE))</f>
        <v>1312.1690000000001</v>
      </c>
      <c r="AV79">
        <f ca="1">IF(AND(ISNUMBER($AV$218),$B$145=1),$AV$218,HLOOKUP(INDIRECT(ADDRESS(2,COLUMN())),OFFSET($BN$2,0,0,ROW()-1,60),ROW()-1,FALSE))</f>
        <v>1348.7670000000001</v>
      </c>
      <c r="AW79">
        <f ca="1">IF(AND(ISNUMBER($AW$218),$B$145=1),$AW$218,HLOOKUP(INDIRECT(ADDRESS(2,COLUMN())),OFFSET($BN$2,0,0,ROW()-1,60),ROW()-1,FALSE))</f>
        <v>1187.778</v>
      </c>
      <c r="AX79">
        <f ca="1">IF(AND(ISNUMBER($AX$218),$B$145=1),$AX$218,HLOOKUP(INDIRECT(ADDRESS(2,COLUMN())),OFFSET($BN$2,0,0,ROW()-1,60),ROW()-1,FALSE))</f>
        <v>1052.931</v>
      </c>
      <c r="AY79">
        <f ca="1">IF(AND(ISNUMBER($AY$218),$B$145=1),$AY$218,HLOOKUP(INDIRECT(ADDRESS(2,COLUMN())),OFFSET($BN$2,0,0,ROW()-1,60),ROW()-1,FALSE))</f>
        <v>1178.075</v>
      </c>
      <c r="AZ79">
        <f ca="1">IF(AND(ISNUMBER($AZ$218),$B$145=1),$AZ$218,HLOOKUP(INDIRECT(ADDRESS(2,COLUMN())),OFFSET($BN$2,0,0,ROW()-1,60),ROW()-1,FALSE))</f>
        <v>938.11400000000003</v>
      </c>
      <c r="BA79">
        <f ca="1">IF(AND(ISNUMBER($BA$218),$B$145=1),$BA$218,HLOOKUP(INDIRECT(ADDRESS(2,COLUMN())),OFFSET($BN$2,0,0,ROW()-1,60),ROW()-1,FALSE))</f>
        <v>1173.2470000000001</v>
      </c>
      <c r="BB79">
        <f ca="1">IF(AND(ISNUMBER($BB$218),$B$145=1),$BB$218,HLOOKUP(INDIRECT(ADDRESS(2,COLUMN())),OFFSET($BN$2,0,0,ROW()-1,60),ROW()-1,FALSE))</f>
        <v>1138.2429999999999</v>
      </c>
      <c r="BC79">
        <f ca="1">IF(AND(ISNUMBER($BC$218),$B$145=1),$BC$218,HLOOKUP(INDIRECT(ADDRESS(2,COLUMN())),OFFSET($BN$2,0,0,ROW()-1,60),ROW()-1,FALSE))</f>
        <v>1264.07</v>
      </c>
      <c r="BD79">
        <f ca="1">IF(AND(ISNUMBER($BD$218),$B$145=1),$BD$218,HLOOKUP(INDIRECT(ADDRESS(2,COLUMN())),OFFSET($BN$2,0,0,ROW()-1,60),ROW()-1,FALSE))</f>
        <v>1314.0630000000001</v>
      </c>
      <c r="BE79">
        <f ca="1">IF(AND(ISNUMBER($BE$218),$B$145=1),$BE$218,HLOOKUP(INDIRECT(ADDRESS(2,COLUMN())),OFFSET($BN$2,0,0,ROW()-1,60),ROW()-1,FALSE))</f>
        <v>1263.134</v>
      </c>
      <c r="BF79">
        <f ca="1">IF(AND(ISNUMBER($BF$218),$B$145=1),$BF$218,HLOOKUP(INDIRECT(ADDRESS(2,COLUMN())),OFFSET($BN$2,0,0,ROW()-1,60),ROW()-1,FALSE))</f>
        <v>1354.7860000000001</v>
      </c>
      <c r="BG79">
        <f ca="1">IF(AND(ISNUMBER($BG$218),$B$145=1),$BG$218,HLOOKUP(INDIRECT(ADDRESS(2,COLUMN())),OFFSET($BN$2,0,0,ROW()-1,60),ROW()-1,FALSE))</f>
        <v>1442.021</v>
      </c>
      <c r="BH79">
        <f ca="1">IF(AND(ISNUMBER($BH$218),$B$145=1),$BH$218,HLOOKUP(INDIRECT(ADDRESS(2,COLUMN())),OFFSET($BN$2,0,0,ROW()-1,60),ROW()-1,FALSE))</f>
        <v>1443.547</v>
      </c>
      <c r="BI79">
        <f ca="1">IF(AND(ISNUMBER($BI$218),$B$145=1),$BI$218,HLOOKUP(INDIRECT(ADDRESS(2,COLUMN())),OFFSET($BN$2,0,0,ROW()-1,60),ROW()-1,FALSE))</f>
        <v>1843.3430000000001</v>
      </c>
      <c r="BJ79">
        <f ca="1">IF(AND(ISNUMBER($BJ$218),$B$145=1),$BJ$218,HLOOKUP(INDIRECT(ADDRESS(2,COLUMN())),OFFSET($BN$2,0,0,ROW()-1,60),ROW()-1,FALSE))</f>
        <v>1742.241</v>
      </c>
      <c r="BK79">
        <f ca="1">IF(AND(ISNUMBER($BK$218),$B$145=1),$BK$218,HLOOKUP(INDIRECT(ADDRESS(2,COLUMN())),OFFSET($BN$2,0,0,ROW()-1,60),ROW()-1,FALSE))</f>
        <v>2108.1779999999999</v>
      </c>
      <c r="BL79">
        <f ca="1">IF(AND(ISNUMBER($BL$218),$B$145=1),$BL$218,HLOOKUP(INDIRECT(ADDRESS(2,COLUMN())),OFFSET($BN$2,0,0,ROW()-1,60),ROW()-1,FALSE))</f>
        <v>1885.7739999999999</v>
      </c>
      <c r="BM79" t="str">
        <f ca="1">IF(AND(ISNUMBER($BM$218),$B$145=1),$BM$218,HLOOKUP(INDIRECT(ADDRESS(2,COLUMN())),OFFSET($BN$2,0,0,ROW()-1,60),ROW()-1,FALSE))</f>
        <v/>
      </c>
      <c r="BN79">
        <f>1537.377</f>
        <v>1537.377</v>
      </c>
      <c r="BO79">
        <f>1615.879</f>
        <v>1615.8789999999999</v>
      </c>
      <c r="BP79">
        <f>1443.291</f>
        <v>1443.2909999999999</v>
      </c>
      <c r="BQ79">
        <f>1376.277</f>
        <v>1376.277</v>
      </c>
      <c r="BR79">
        <f>1309.194</f>
        <v>1309.194</v>
      </c>
      <c r="BS79">
        <f>1729.203</f>
        <v>1729.203</v>
      </c>
      <c r="BT79">
        <f>1427.58</f>
        <v>1427.58</v>
      </c>
      <c r="BU79">
        <f>1498.815</f>
        <v>1498.8150000000001</v>
      </c>
      <c r="BV79">
        <f>1755.36</f>
        <v>1755.36</v>
      </c>
      <c r="BW79">
        <f>2603.86</f>
        <v>2603.86</v>
      </c>
      <c r="BX79">
        <f>3387.847</f>
        <v>3387.8470000000002</v>
      </c>
      <c r="BY79">
        <f>3487.48</f>
        <v>3487.48</v>
      </c>
      <c r="BZ79">
        <f>2588.066</f>
        <v>2588.0659999999998</v>
      </c>
      <c r="CA79">
        <f>3370.965</f>
        <v>3370.9650000000001</v>
      </c>
      <c r="CB79">
        <f>2914.945</f>
        <v>2914.9450000000002</v>
      </c>
      <c r="CC79">
        <f>2232.789</f>
        <v>2232.7890000000002</v>
      </c>
      <c r="CD79">
        <f>2410.788</f>
        <v>2410.788</v>
      </c>
      <c r="CE79">
        <f>2574.203</f>
        <v>2574.203</v>
      </c>
      <c r="CF79">
        <f>2618.843</f>
        <v>2618.8429999999998</v>
      </c>
      <c r="CG79">
        <f>2802.527</f>
        <v>2802.527</v>
      </c>
      <c r="CH79">
        <f>1754.688</f>
        <v>1754.6880000000001</v>
      </c>
      <c r="CI79">
        <f>1990.943</f>
        <v>1990.943</v>
      </c>
      <c r="CJ79">
        <f>1719.268</f>
        <v>1719.268</v>
      </c>
      <c r="CK79">
        <f>1468.254</f>
        <v>1468.2539999999999</v>
      </c>
      <c r="CL79">
        <f>1311.188</f>
        <v>1311.1880000000001</v>
      </c>
      <c r="CM79">
        <f>1658.158</f>
        <v>1658.1579999999999</v>
      </c>
      <c r="CN79">
        <f>1523.958</f>
        <v>1523.9580000000001</v>
      </c>
      <c r="CO79">
        <f>1371.383</f>
        <v>1371.383</v>
      </c>
      <c r="CP79">
        <f>1517.19</f>
        <v>1517.19</v>
      </c>
      <c r="CQ79">
        <f>1380.962</f>
        <v>1380.962</v>
      </c>
      <c r="CR79">
        <f>1689.456</f>
        <v>1689.4559999999999</v>
      </c>
      <c r="CS79">
        <f>1472.067</f>
        <v>1472.067</v>
      </c>
      <c r="CT79">
        <f>1585.108</f>
        <v>1585.1079999999999</v>
      </c>
      <c r="CU79">
        <f>1938.301</f>
        <v>1938.3009999999999</v>
      </c>
      <c r="CV79">
        <f>1801.109</f>
        <v>1801.1089999999999</v>
      </c>
      <c r="CW79">
        <f>1553.586</f>
        <v>1553.586</v>
      </c>
      <c r="CX79">
        <f>1340.544</f>
        <v>1340.5440000000001</v>
      </c>
      <c r="CY79">
        <f>1446.156</f>
        <v>1446.1559999999999</v>
      </c>
      <c r="CZ79">
        <f>1134.106</f>
        <v>1134.106</v>
      </c>
      <c r="DA79">
        <f>1426.572</f>
        <v>1426.5719999999999</v>
      </c>
      <c r="DB79">
        <f>1305.135</f>
        <v>1305.135</v>
      </c>
      <c r="DC79">
        <f>1312.169</f>
        <v>1312.1690000000001</v>
      </c>
      <c r="DD79">
        <f>1348.767</f>
        <v>1348.7670000000001</v>
      </c>
      <c r="DE79">
        <f>1187.778</f>
        <v>1187.778</v>
      </c>
      <c r="DF79">
        <f>1052.931</f>
        <v>1052.931</v>
      </c>
      <c r="DG79">
        <f>1178.075</f>
        <v>1178.075</v>
      </c>
      <c r="DH79">
        <f>938.114</f>
        <v>938.11400000000003</v>
      </c>
      <c r="DI79">
        <f>1173.247</f>
        <v>1173.2470000000001</v>
      </c>
      <c r="DJ79">
        <f>1138.243</f>
        <v>1138.2429999999999</v>
      </c>
      <c r="DK79">
        <f>1264.07</f>
        <v>1264.07</v>
      </c>
      <c r="DL79">
        <f>1314.063</f>
        <v>1314.0630000000001</v>
      </c>
      <c r="DM79">
        <f>1263.134</f>
        <v>1263.134</v>
      </c>
      <c r="DN79">
        <f>1354.786</f>
        <v>1354.7860000000001</v>
      </c>
      <c r="DO79">
        <f>1442.021</f>
        <v>1442.021</v>
      </c>
      <c r="DP79">
        <f>1443.547</f>
        <v>1443.547</v>
      </c>
      <c r="DQ79">
        <f>1843.343</f>
        <v>1843.3430000000001</v>
      </c>
      <c r="DR79">
        <f>1742.241</f>
        <v>1742.241</v>
      </c>
      <c r="DS79">
        <f>2108.178</f>
        <v>2108.1779999999999</v>
      </c>
      <c r="DT79">
        <f>1885.774</f>
        <v>1885.7739999999999</v>
      </c>
      <c r="DU79" t="str">
        <f>""</f>
        <v/>
      </c>
    </row>
    <row r="80" spans="1:125" x14ac:dyDescent="0.25">
      <c r="A80" t="str">
        <f>"            M&amp;T Bank Corp"</f>
        <v xml:space="preserve">            M&amp;T Bank Corp</v>
      </c>
      <c r="B80" t="str">
        <f>"MTB US Equity"</f>
        <v>MTB US Equity</v>
      </c>
      <c r="C80" t="str">
        <f t="shared" si="9"/>
        <v>FC070</v>
      </c>
      <c r="D80" t="str">
        <f t="shared" si="10"/>
        <v>FDIC_TRADING_ACCT_ASSETS</v>
      </c>
      <c r="E80" t="str">
        <f t="shared" si="11"/>
        <v>Dynamic</v>
      </c>
      <c r="F80">
        <f ca="1">IF(AND(ISNUMBER($F$219),$B$145=1),$F$219,HLOOKUP(INDIRECT(ADDRESS(2,COLUMN())),OFFSET($BN$2,0,0,ROW()-1,60),ROW()-1,FALSE))</f>
        <v>101.351</v>
      </c>
      <c r="G80">
        <f ca="1">IF(AND(ISNUMBER($G$219),$B$145=1),$G$219,HLOOKUP(INDIRECT(ADDRESS(2,COLUMN())),OFFSET($BN$2,0,0,ROW()-1,60),ROW()-1,FALSE))</f>
        <v>102.297</v>
      </c>
      <c r="H80">
        <f ca="1">IF(AND(ISNUMBER($H$219),$B$145=1),$H$219,HLOOKUP(INDIRECT(ADDRESS(2,COLUMN())),OFFSET($BN$2,0,0,ROW()-1,60),ROW()-1,FALSE))</f>
        <v>98.561000000000007</v>
      </c>
      <c r="I80">
        <f ca="1">IF(AND(ISNUMBER($I$219),$B$145=1),$I$219,HLOOKUP(INDIRECT(ADDRESS(2,COLUMN())),OFFSET($BN$2,0,0,ROW()-1,60),ROW()-1,FALSE))</f>
        <v>99.192999999999998</v>
      </c>
      <c r="J80">
        <f ca="1">IF(AND(ISNUMBER($J$219),$B$145=1),$J$219,HLOOKUP(INDIRECT(ADDRESS(2,COLUMN())),OFFSET($BN$2,0,0,ROW()-1,60),ROW()-1,FALSE))</f>
        <v>106.072</v>
      </c>
      <c r="K80">
        <f ca="1">IF(AND(ISNUMBER($K$219),$B$145=1),$K$219,HLOOKUP(INDIRECT(ADDRESS(2,COLUMN())),OFFSET($BN$2,0,0,ROW()-1,60),ROW()-1,FALSE))</f>
        <v>136.99799999999999</v>
      </c>
      <c r="L80">
        <f ca="1">IF(AND(ISNUMBER($L$219),$B$145=1),$L$219,HLOOKUP(INDIRECT(ADDRESS(2,COLUMN())),OFFSET($BN$2,0,0,ROW()-1,60),ROW()-1,FALSE))</f>
        <v>137.24</v>
      </c>
      <c r="M80">
        <f ca="1">IF(AND(ISNUMBER($M$219),$B$145=1),$M$219,HLOOKUP(INDIRECT(ADDRESS(2,COLUMN())),OFFSET($BN$2,0,0,ROW()-1,60),ROW()-1,FALSE))</f>
        <v>165.21600000000001</v>
      </c>
      <c r="N80">
        <f ca="1">IF(AND(ISNUMBER($N$219),$B$145=1),$N$219,HLOOKUP(INDIRECT(ADDRESS(2,COLUMN())),OFFSET($BN$2,0,0,ROW()-1,60),ROW()-1,FALSE))</f>
        <v>117.84699999999999</v>
      </c>
      <c r="O80">
        <f ca="1">IF(AND(ISNUMBER($O$219),$B$145=1),$O$219,HLOOKUP(INDIRECT(ADDRESS(2,COLUMN())),OFFSET($BN$2,0,0,ROW()-1,60),ROW()-1,FALSE))</f>
        <v>129.672</v>
      </c>
      <c r="P80">
        <f ca="1">IF(AND(ISNUMBER($P$219),$B$145=1),$P$219,HLOOKUP(INDIRECT(ADDRESS(2,COLUMN())),OFFSET($BN$2,0,0,ROW()-1,60),ROW()-1,FALSE))</f>
        <v>133.85499999999999</v>
      </c>
      <c r="Q80">
        <f ca="1">IF(AND(ISNUMBER($Q$219),$B$145=1),$Q$219,HLOOKUP(INDIRECT(ADDRESS(2,COLUMN())),OFFSET($BN$2,0,0,ROW()-1,60),ROW()-1,FALSE))</f>
        <v>197.55799999999999</v>
      </c>
      <c r="R80">
        <f ca="1">IF(AND(ISNUMBER($R$219),$B$145=1),$R$219,HLOOKUP(INDIRECT(ADDRESS(2,COLUMN())),OFFSET($BN$2,0,0,ROW()-1,60),ROW()-1,FALSE))</f>
        <v>468.03100000000001</v>
      </c>
      <c r="S80">
        <f ca="1">IF(AND(ISNUMBER($S$219),$B$145=1),$S$219,HLOOKUP(INDIRECT(ADDRESS(2,COLUMN())),OFFSET($BN$2,0,0,ROW()-1,60),ROW()-1,FALSE))</f>
        <v>624.55600000000004</v>
      </c>
      <c r="T80">
        <f ca="1">IF(AND(ISNUMBER($T$219),$B$145=1),$T$219,HLOOKUP(INDIRECT(ADDRESS(2,COLUMN())),OFFSET($BN$2,0,0,ROW()-1,60),ROW()-1,FALSE))</f>
        <v>712.55799999999999</v>
      </c>
      <c r="U80">
        <f ca="1">IF(AND(ISNUMBER($U$219),$B$145=1),$U$219,HLOOKUP(INDIRECT(ADDRESS(2,COLUMN())),OFFSET($BN$2,0,0,ROW()-1,60),ROW()-1,FALSE))</f>
        <v>687.35900000000004</v>
      </c>
      <c r="V80">
        <f ca="1">IF(AND(ISNUMBER($V$219),$B$145=1),$V$219,HLOOKUP(INDIRECT(ADDRESS(2,COLUMN())),OFFSET($BN$2,0,0,ROW()-1,60),ROW()-1,FALSE))</f>
        <v>1068.5809999999999</v>
      </c>
      <c r="W80">
        <f ca="1">IF(AND(ISNUMBER($W$219),$B$145=1),$W$219,HLOOKUP(INDIRECT(ADDRESS(2,COLUMN())),OFFSET($BN$2,0,0,ROW()-1,60),ROW()-1,FALSE))</f>
        <v>1215.5730000000001</v>
      </c>
      <c r="X80">
        <f ca="1">IF(AND(ISNUMBER($X$219),$B$145=1),$X$219,HLOOKUP(INDIRECT(ADDRESS(2,COLUMN())),OFFSET($BN$2,0,0,ROW()-1,60),ROW()-1,FALSE))</f>
        <v>1293.5340000000001</v>
      </c>
      <c r="Y80">
        <f ca="1">IF(AND(ISNUMBER($Y$219),$B$145=1),$Y$219,HLOOKUP(INDIRECT(ADDRESS(2,COLUMN())),OFFSET($BN$2,0,0,ROW()-1,60),ROW()-1,FALSE))</f>
        <v>1224.2909999999999</v>
      </c>
      <c r="Z80">
        <f ca="1">IF(AND(ISNUMBER($Z$219),$B$145=1),$Z$219,HLOOKUP(INDIRECT(ADDRESS(2,COLUMN())),OFFSET($BN$2,0,0,ROW()-1,60),ROW()-1,FALSE))</f>
        <v>470.12900000000002</v>
      </c>
      <c r="AA80">
        <f ca="1">IF(AND(ISNUMBER($AA$219),$B$145=1),$AA$219,HLOOKUP(INDIRECT(ADDRESS(2,COLUMN())),OFFSET($BN$2,0,0,ROW()-1,60),ROW()-1,FALSE))</f>
        <v>614.25599999999997</v>
      </c>
      <c r="AB80">
        <f ca="1">IF(AND(ISNUMBER($AB$219),$B$145=1),$AB$219,HLOOKUP(INDIRECT(ADDRESS(2,COLUMN())),OFFSET($BN$2,0,0,ROW()-1,60),ROW()-1,FALSE))</f>
        <v>479.40300000000002</v>
      </c>
      <c r="AC80">
        <f ca="1">IF(AND(ISNUMBER($AC$219),$B$145=1),$AC$219,HLOOKUP(INDIRECT(ADDRESS(2,COLUMN())),OFFSET($BN$2,0,0,ROW()-1,60),ROW()-1,FALSE))</f>
        <v>276.322</v>
      </c>
      <c r="AD80">
        <f ca="1">IF(AND(ISNUMBER($AD$219),$B$145=1),$AD$219,HLOOKUP(INDIRECT(ADDRESS(2,COLUMN())),OFFSET($BN$2,0,0,ROW()-1,60),ROW()-1,FALSE))</f>
        <v>185.584</v>
      </c>
      <c r="AE80">
        <f ca="1">IF(AND(ISNUMBER($AE$219),$B$145=1),$AE$219,HLOOKUP(INDIRECT(ADDRESS(2,COLUMN())),OFFSET($BN$2,0,0,ROW()-1,60),ROW()-1,FALSE))</f>
        <v>125.038</v>
      </c>
      <c r="AF80">
        <f ca="1">IF(AND(ISNUMBER($AF$219),$B$145=1),$AF$219,HLOOKUP(INDIRECT(ADDRESS(2,COLUMN())),OFFSET($BN$2,0,0,ROW()-1,60),ROW()-1,FALSE))</f>
        <v>148.303</v>
      </c>
      <c r="AG80">
        <f ca="1">IF(AND(ISNUMBER($AG$219),$B$145=1),$AG$219,HLOOKUP(INDIRECT(ADDRESS(2,COLUMN())),OFFSET($BN$2,0,0,ROW()-1,60),ROW()-1,FALSE))</f>
        <v>141.13399999999999</v>
      </c>
      <c r="AH80">
        <f ca="1">IF(AND(ISNUMBER($AH$219),$B$145=1),$AH$219,HLOOKUP(INDIRECT(ADDRESS(2,COLUMN())),OFFSET($BN$2,0,0,ROW()-1,60),ROW()-1,FALSE))</f>
        <v>132.90899999999999</v>
      </c>
      <c r="AI80">
        <f ca="1">IF(AND(ISNUMBER($AI$219),$B$145=1),$AI$219,HLOOKUP(INDIRECT(ADDRESS(2,COLUMN())),OFFSET($BN$2,0,0,ROW()-1,60),ROW()-1,FALSE))</f>
        <v>170.51599999999999</v>
      </c>
      <c r="AJ80">
        <f ca="1">IF(AND(ISNUMBER($AJ$219),$B$145=1),$AJ$219,HLOOKUP(INDIRECT(ADDRESS(2,COLUMN())),OFFSET($BN$2,0,0,ROW()-1,60),ROW()-1,FALSE))</f>
        <v>174.64599999999999</v>
      </c>
      <c r="AK80">
        <f ca="1">IF(AND(ISNUMBER($AK$219),$B$145=1),$AK$219,HLOOKUP(INDIRECT(ADDRESS(2,COLUMN())),OFFSET($BN$2,0,0,ROW()-1,60),ROW()-1,FALSE))</f>
        <v>174.85400000000001</v>
      </c>
      <c r="AL80">
        <f ca="1">IF(AND(ISNUMBER($AL$219),$B$145=1),$AL$219,HLOOKUP(INDIRECT(ADDRESS(2,COLUMN())),OFFSET($BN$2,0,0,ROW()-1,60),ROW()-1,FALSE))</f>
        <v>323.86700000000002</v>
      </c>
      <c r="AM80">
        <f ca="1">IF(AND(ISNUMBER($AM$219),$B$145=1),$AM$219,HLOOKUP(INDIRECT(ADDRESS(2,COLUMN())),OFFSET($BN$2,0,0,ROW()-1,60),ROW()-1,FALSE))</f>
        <v>488.58800000000002</v>
      </c>
      <c r="AN80">
        <f ca="1">IF(AND(ISNUMBER($AN$219),$B$145=1),$AN$219,HLOOKUP(INDIRECT(ADDRESS(2,COLUMN())),OFFSET($BN$2,0,0,ROW()-1,60),ROW()-1,FALSE))</f>
        <v>506.13099999999997</v>
      </c>
      <c r="AO80">
        <f ca="1">IF(AND(ISNUMBER($AO$219),$B$145=1),$AO$219,HLOOKUP(INDIRECT(ADDRESS(2,COLUMN())),OFFSET($BN$2,0,0,ROW()-1,60),ROW()-1,FALSE))</f>
        <v>467.98700000000002</v>
      </c>
      <c r="AP80">
        <f ca="1">IF(AND(ISNUMBER($AP$219),$B$145=1),$AP$219,HLOOKUP(INDIRECT(ADDRESS(2,COLUMN())),OFFSET($BN$2,0,0,ROW()-1,60),ROW()-1,FALSE))</f>
        <v>273.78300000000002</v>
      </c>
      <c r="AQ80">
        <f ca="1">IF(AND(ISNUMBER($AQ$219),$B$145=1),$AQ$219,HLOOKUP(INDIRECT(ADDRESS(2,COLUMN())),OFFSET($BN$2,0,0,ROW()-1,60),ROW()-1,FALSE))</f>
        <v>340.71</v>
      </c>
      <c r="AR80">
        <f ca="1">IF(AND(ISNUMBER($AR$219),$B$145=1),$AR$219,HLOOKUP(INDIRECT(ADDRESS(2,COLUMN())),OFFSET($BN$2,0,0,ROW()-1,60),ROW()-1,FALSE))</f>
        <v>277.00900000000001</v>
      </c>
      <c r="AS80">
        <f ca="1">IF(AND(ISNUMBER($AS$219),$B$145=1),$AS$219,HLOOKUP(INDIRECT(ADDRESS(2,COLUMN())),OFFSET($BN$2,0,0,ROW()-1,60),ROW()-1,FALSE))</f>
        <v>363.08499999999998</v>
      </c>
      <c r="AT80">
        <f ca="1">IF(AND(ISNUMBER($AT$219),$B$145=1),$AT$219,HLOOKUP(INDIRECT(ADDRESS(2,COLUMN())),OFFSET($BN$2,0,0,ROW()-1,60),ROW()-1,FALSE))</f>
        <v>308.17500000000001</v>
      </c>
      <c r="AU80">
        <f ca="1">IF(AND(ISNUMBER($AU$219),$B$145=1),$AU$219,HLOOKUP(INDIRECT(ADDRESS(2,COLUMN())),OFFSET($BN$2,0,0,ROW()-1,60),ROW()-1,FALSE))</f>
        <v>296.91300000000001</v>
      </c>
      <c r="AV80">
        <f ca="1">IF(AND(ISNUMBER($AV$219),$B$145=1),$AV$219,HLOOKUP(INDIRECT(ADDRESS(2,COLUMN())),OFFSET($BN$2,0,0,ROW()-1,60),ROW()-1,FALSE))</f>
        <v>313.32499999999999</v>
      </c>
      <c r="AW80">
        <f ca="1">IF(AND(ISNUMBER($AW$219),$B$145=1),$AW$219,HLOOKUP(INDIRECT(ADDRESS(2,COLUMN())),OFFSET($BN$2,0,0,ROW()-1,60),ROW()-1,FALSE))</f>
        <v>314.80700000000002</v>
      </c>
      <c r="AX80">
        <f ca="1">IF(AND(ISNUMBER($AX$219),$B$145=1),$AX$219,HLOOKUP(INDIRECT(ADDRESS(2,COLUMN())),OFFSET($BN$2,0,0,ROW()-1,60),ROW()-1,FALSE))</f>
        <v>376.13099999999997</v>
      </c>
      <c r="AY80">
        <f ca="1">IF(AND(ISNUMBER($AY$219),$B$145=1),$AY$219,HLOOKUP(INDIRECT(ADDRESS(2,COLUMN())),OFFSET($BN$2,0,0,ROW()-1,60),ROW()-1,FALSE))</f>
        <v>371.37</v>
      </c>
      <c r="AZ80">
        <f ca="1">IF(AND(ISNUMBER($AZ$219),$B$145=1),$AZ$219,HLOOKUP(INDIRECT(ADDRESS(2,COLUMN())),OFFSET($BN$2,0,0,ROW()-1,60),ROW()-1,FALSE))</f>
        <v>378.23500000000001</v>
      </c>
      <c r="BA80">
        <f ca="1">IF(AND(ISNUMBER($BA$219),$B$145=1),$BA$219,HLOOKUP(INDIRECT(ADDRESS(2,COLUMN())),OFFSET($BN$2,0,0,ROW()-1,60),ROW()-1,FALSE))</f>
        <v>420.14400000000001</v>
      </c>
      <c r="BB80">
        <f ca="1">IF(AND(ISNUMBER($BB$219),$B$145=1),$BB$219,HLOOKUP(INDIRECT(ADDRESS(2,COLUMN())),OFFSET($BN$2,0,0,ROW()-1,60),ROW()-1,FALSE))</f>
        <v>488.96600000000001</v>
      </c>
      <c r="BC80">
        <f ca="1">IF(AND(ISNUMBER($BC$219),$B$145=1),$BC$219,HLOOKUP(INDIRECT(ADDRESS(2,COLUMN())),OFFSET($BN$2,0,0,ROW()-1,60),ROW()-1,FALSE))</f>
        <v>526.84400000000005</v>
      </c>
      <c r="BD80">
        <f ca="1">IF(AND(ISNUMBER($BD$219),$B$145=1),$BD$219,HLOOKUP(INDIRECT(ADDRESS(2,COLUMN())),OFFSET($BN$2,0,0,ROW()-1,60),ROW()-1,FALSE))</f>
        <v>544.93799999999999</v>
      </c>
      <c r="BE80">
        <f ca="1">IF(AND(ISNUMBER($BE$219),$B$145=1),$BE$219,HLOOKUP(INDIRECT(ADDRESS(2,COLUMN())),OFFSET($BN$2,0,0,ROW()-1,60),ROW()-1,FALSE))</f>
        <v>517.62</v>
      </c>
      <c r="BF80">
        <f ca="1">IF(AND(ISNUMBER($BF$219),$B$145=1),$BF$219,HLOOKUP(INDIRECT(ADDRESS(2,COLUMN())),OFFSET($BN$2,0,0,ROW()-1,60),ROW()-1,FALSE))</f>
        <v>561.83399999999995</v>
      </c>
      <c r="BG80">
        <f ca="1">IF(AND(ISNUMBER($BG$219),$B$145=1),$BG$219,HLOOKUP(INDIRECT(ADDRESS(2,COLUMN())),OFFSET($BN$2,0,0,ROW()-1,60),ROW()-1,FALSE))</f>
        <v>605.55700000000002</v>
      </c>
      <c r="BH80">
        <f ca="1">IF(AND(ISNUMBER($BH$219),$B$145=1),$BH$219,HLOOKUP(INDIRECT(ADDRESS(2,COLUMN())),OFFSET($BN$2,0,0,ROW()-1,60),ROW()-1,FALSE))</f>
        <v>502.98599999999999</v>
      </c>
      <c r="BI80">
        <f ca="1">IF(AND(ISNUMBER($BI$219),$B$145=1),$BI$219,HLOOKUP(INDIRECT(ADDRESS(2,COLUMN())),OFFSET($BN$2,0,0,ROW()-1,60),ROW()-1,FALSE))</f>
        <v>413.73700000000002</v>
      </c>
      <c r="BJ80">
        <f ca="1">IF(AND(ISNUMBER($BJ$219),$B$145=1),$BJ$219,HLOOKUP(INDIRECT(ADDRESS(2,COLUMN())),OFFSET($BN$2,0,0,ROW()-1,60),ROW()-1,FALSE))</f>
        <v>523.83399999999995</v>
      </c>
      <c r="BK80">
        <f ca="1">IF(AND(ISNUMBER($BK$219),$B$145=1),$BK$219,HLOOKUP(INDIRECT(ADDRESS(2,COLUMN())),OFFSET($BN$2,0,0,ROW()-1,60),ROW()-1,FALSE))</f>
        <v>536.702</v>
      </c>
      <c r="BL80">
        <f ca="1">IF(AND(ISNUMBER($BL$219),$B$145=1),$BL$219,HLOOKUP(INDIRECT(ADDRESS(2,COLUMN())),OFFSET($BN$2,0,0,ROW()-1,60),ROW()-1,FALSE))</f>
        <v>487.69200000000001</v>
      </c>
      <c r="BM80" t="str">
        <f ca="1">IF(AND(ISNUMBER($BM$219),$B$145=1),$BM$219,HLOOKUP(INDIRECT(ADDRESS(2,COLUMN())),OFFSET($BN$2,0,0,ROW()-1,60),ROW()-1,FALSE))</f>
        <v/>
      </c>
      <c r="BN80">
        <f>101.351</f>
        <v>101.351</v>
      </c>
      <c r="BO80">
        <f>102.297</f>
        <v>102.297</v>
      </c>
      <c r="BP80">
        <f>98.561</f>
        <v>98.561000000000007</v>
      </c>
      <c r="BQ80">
        <f>99.193</f>
        <v>99.192999999999998</v>
      </c>
      <c r="BR80">
        <f>106.072</f>
        <v>106.072</v>
      </c>
      <c r="BS80">
        <f>136.998</f>
        <v>136.99799999999999</v>
      </c>
      <c r="BT80">
        <f>137.24</f>
        <v>137.24</v>
      </c>
      <c r="BU80">
        <f>165.216</f>
        <v>165.21600000000001</v>
      </c>
      <c r="BV80">
        <f>117.847</f>
        <v>117.84699999999999</v>
      </c>
      <c r="BW80">
        <f>129.672</f>
        <v>129.672</v>
      </c>
      <c r="BX80">
        <f>133.855</f>
        <v>133.85499999999999</v>
      </c>
      <c r="BY80">
        <f>197.558</f>
        <v>197.55799999999999</v>
      </c>
      <c r="BZ80">
        <f>468.031</f>
        <v>468.03100000000001</v>
      </c>
      <c r="CA80">
        <f>624.556</f>
        <v>624.55600000000004</v>
      </c>
      <c r="CB80">
        <f>712.558</f>
        <v>712.55799999999999</v>
      </c>
      <c r="CC80">
        <f>687.359</f>
        <v>687.35900000000004</v>
      </c>
      <c r="CD80">
        <f>1068.581</f>
        <v>1068.5809999999999</v>
      </c>
      <c r="CE80">
        <f>1215.573</f>
        <v>1215.5730000000001</v>
      </c>
      <c r="CF80">
        <f>1293.534</f>
        <v>1293.5340000000001</v>
      </c>
      <c r="CG80">
        <f>1224.291</f>
        <v>1224.2909999999999</v>
      </c>
      <c r="CH80">
        <f>470.129</f>
        <v>470.12900000000002</v>
      </c>
      <c r="CI80">
        <f>614.256</f>
        <v>614.25599999999997</v>
      </c>
      <c r="CJ80">
        <f>479.403</f>
        <v>479.40300000000002</v>
      </c>
      <c r="CK80">
        <f>276.322</f>
        <v>276.322</v>
      </c>
      <c r="CL80">
        <f>185.584</f>
        <v>185.584</v>
      </c>
      <c r="CM80">
        <f>125.038</f>
        <v>125.038</v>
      </c>
      <c r="CN80">
        <f>148.303</f>
        <v>148.303</v>
      </c>
      <c r="CO80">
        <f>141.134</f>
        <v>141.13399999999999</v>
      </c>
      <c r="CP80">
        <f>132.909</f>
        <v>132.90899999999999</v>
      </c>
      <c r="CQ80">
        <f>170.516</f>
        <v>170.51599999999999</v>
      </c>
      <c r="CR80">
        <f>174.646</f>
        <v>174.64599999999999</v>
      </c>
      <c r="CS80">
        <f>174.854</f>
        <v>174.85400000000001</v>
      </c>
      <c r="CT80">
        <f>323.867</f>
        <v>323.86700000000002</v>
      </c>
      <c r="CU80">
        <f>488.588</f>
        <v>488.58800000000002</v>
      </c>
      <c r="CV80">
        <f>506.131</f>
        <v>506.13099999999997</v>
      </c>
      <c r="CW80">
        <f>467.987</f>
        <v>467.98700000000002</v>
      </c>
      <c r="CX80">
        <f>273.783</f>
        <v>273.78300000000002</v>
      </c>
      <c r="CY80">
        <f>340.71</f>
        <v>340.71</v>
      </c>
      <c r="CZ80">
        <f>277.009</f>
        <v>277.00900000000001</v>
      </c>
      <c r="DA80">
        <f>363.085</f>
        <v>363.08499999999998</v>
      </c>
      <c r="DB80">
        <f>308.175</f>
        <v>308.17500000000001</v>
      </c>
      <c r="DC80">
        <f>296.913</f>
        <v>296.91300000000001</v>
      </c>
      <c r="DD80">
        <f>313.325</f>
        <v>313.32499999999999</v>
      </c>
      <c r="DE80">
        <f>314.807</f>
        <v>314.80700000000002</v>
      </c>
      <c r="DF80">
        <f>376.131</f>
        <v>376.13099999999997</v>
      </c>
      <c r="DG80">
        <f>371.37</f>
        <v>371.37</v>
      </c>
      <c r="DH80">
        <f>378.235</f>
        <v>378.23500000000001</v>
      </c>
      <c r="DI80">
        <f>420.144</f>
        <v>420.14400000000001</v>
      </c>
      <c r="DJ80">
        <f>488.966</f>
        <v>488.96600000000001</v>
      </c>
      <c r="DK80">
        <f>526.844</f>
        <v>526.84400000000005</v>
      </c>
      <c r="DL80">
        <f>544.938</f>
        <v>544.93799999999999</v>
      </c>
      <c r="DM80">
        <f>517.62</f>
        <v>517.62</v>
      </c>
      <c r="DN80">
        <f>561.834</f>
        <v>561.83399999999995</v>
      </c>
      <c r="DO80">
        <f>605.557</f>
        <v>605.55700000000002</v>
      </c>
      <c r="DP80">
        <f>502.986</f>
        <v>502.98599999999999</v>
      </c>
      <c r="DQ80">
        <f>413.737</f>
        <v>413.73700000000002</v>
      </c>
      <c r="DR80">
        <f>523.834</f>
        <v>523.83399999999995</v>
      </c>
      <c r="DS80">
        <f>536.702</f>
        <v>536.702</v>
      </c>
      <c r="DT80">
        <f>487.692</f>
        <v>487.69200000000001</v>
      </c>
      <c r="DU80" t="str">
        <f>""</f>
        <v/>
      </c>
    </row>
    <row r="81" spans="1:125" x14ac:dyDescent="0.25">
      <c r="A81" t="str">
        <f>"            PNC Financial Services Group I"</f>
        <v xml:space="preserve">            PNC Financial Services Group I</v>
      </c>
      <c r="B81" t="str">
        <f>"PNC US Equity"</f>
        <v>PNC US Equity</v>
      </c>
      <c r="C81" t="str">
        <f t="shared" si="9"/>
        <v>FC070</v>
      </c>
      <c r="D81" t="str">
        <f t="shared" si="10"/>
        <v>FDIC_TRADING_ACCT_ASSETS</v>
      </c>
      <c r="E81" t="str">
        <f t="shared" si="11"/>
        <v>Dynamic</v>
      </c>
      <c r="F81" t="str">
        <f ca="1">IF(AND(ISNUMBER($F$220),$B$145=1),$F$220,HLOOKUP(INDIRECT(ADDRESS(2,COLUMN())),OFFSET($BN$2,0,0,ROW()-1,60),ROW()-1,FALSE))</f>
        <v/>
      </c>
      <c r="G81" t="str">
        <f ca="1">IF(AND(ISNUMBER($G$220),$B$145=1),$G$220,HLOOKUP(INDIRECT(ADDRESS(2,COLUMN())),OFFSET($BN$2,0,0,ROW()-1,60),ROW()-1,FALSE))</f>
        <v/>
      </c>
      <c r="H81">
        <f ca="1">IF(AND(ISNUMBER($H$220),$B$145=1),$H$220,HLOOKUP(INDIRECT(ADDRESS(2,COLUMN())),OFFSET($BN$2,0,0,ROW()-1,60),ROW()-1,FALSE))</f>
        <v>3279.3310000000001</v>
      </c>
      <c r="I81">
        <f ca="1">IF(AND(ISNUMBER($I$220),$B$145=1),$I$220,HLOOKUP(INDIRECT(ADDRESS(2,COLUMN())),OFFSET($BN$2,0,0,ROW()-1,60),ROW()-1,FALSE))</f>
        <v>3406.6619999999998</v>
      </c>
      <c r="J81">
        <f ca="1">IF(AND(ISNUMBER($J$220),$B$145=1),$J$220,HLOOKUP(INDIRECT(ADDRESS(2,COLUMN())),OFFSET($BN$2,0,0,ROW()-1,60),ROW()-1,FALSE))</f>
        <v>3726.415</v>
      </c>
      <c r="K81">
        <f ca="1">IF(AND(ISNUMBER($K$220),$B$145=1),$K$220,HLOOKUP(INDIRECT(ADDRESS(2,COLUMN())),OFFSET($BN$2,0,0,ROW()-1,60),ROW()-1,FALSE))</f>
        <v>3581.5520000000001</v>
      </c>
      <c r="L81">
        <f ca="1">IF(AND(ISNUMBER($L$220),$B$145=1),$L$220,HLOOKUP(INDIRECT(ADDRESS(2,COLUMN())),OFFSET($BN$2,0,0,ROW()-1,60),ROW()-1,FALSE))</f>
        <v>3368.17</v>
      </c>
      <c r="M81">
        <f ca="1">IF(AND(ISNUMBER($M$220),$B$145=1),$M$220,HLOOKUP(INDIRECT(ADDRESS(2,COLUMN())),OFFSET($BN$2,0,0,ROW()-1,60),ROW()-1,FALSE))</f>
        <v>3343.9549999999999</v>
      </c>
      <c r="N81">
        <f ca="1">IF(AND(ISNUMBER($N$220),$B$145=1),$N$220,HLOOKUP(INDIRECT(ADDRESS(2,COLUMN())),OFFSET($BN$2,0,0,ROW()-1,60),ROW()-1,FALSE))</f>
        <v>3482.895</v>
      </c>
      <c r="O81">
        <f ca="1">IF(AND(ISNUMBER($O$220),$B$145=1),$O$220,HLOOKUP(INDIRECT(ADDRESS(2,COLUMN())),OFFSET($BN$2,0,0,ROW()-1,60),ROW()-1,FALSE))</f>
        <v>5119.9759999999997</v>
      </c>
      <c r="P81">
        <f ca="1">IF(AND(ISNUMBER($P$220),$B$145=1),$P$220,HLOOKUP(INDIRECT(ADDRESS(2,COLUMN())),OFFSET($BN$2,0,0,ROW()-1,60),ROW()-1,FALSE))</f>
        <v>5480.8010000000004</v>
      </c>
      <c r="Q81">
        <f ca="1">IF(AND(ISNUMBER($Q$220),$B$145=1),$Q$220,HLOOKUP(INDIRECT(ADDRESS(2,COLUMN())),OFFSET($BN$2,0,0,ROW()-1,60),ROW()-1,FALSE))</f>
        <v>6488.7870000000003</v>
      </c>
      <c r="R81">
        <f ca="1">IF(AND(ISNUMBER($R$220),$B$145=1),$R$220,HLOOKUP(INDIRECT(ADDRESS(2,COLUMN())),OFFSET($BN$2,0,0,ROW()-1,60),ROW()-1,FALSE))</f>
        <v>5515.5320000000002</v>
      </c>
      <c r="S81">
        <f ca="1">IF(AND(ISNUMBER($S$220),$B$145=1),$S$220,HLOOKUP(INDIRECT(ADDRESS(2,COLUMN())),OFFSET($BN$2,0,0,ROW()-1,60),ROW()-1,FALSE))</f>
        <v>7040.9719999999998</v>
      </c>
      <c r="T81">
        <f ca="1">IF(AND(ISNUMBER($T$220),$B$145=1),$T$220,HLOOKUP(INDIRECT(ADDRESS(2,COLUMN())),OFFSET($BN$2,0,0,ROW()-1,60),ROW()-1,FALSE))</f>
        <v>6382.4830000000002</v>
      </c>
      <c r="U81">
        <f ca="1">IF(AND(ISNUMBER($U$220),$B$145=1),$U$220,HLOOKUP(INDIRECT(ADDRESS(2,COLUMN())),OFFSET($BN$2,0,0,ROW()-1,60),ROW()-1,FALSE))</f>
        <v>5457.2269999999999</v>
      </c>
      <c r="V81">
        <f ca="1">IF(AND(ISNUMBER($V$220),$B$145=1),$V$220,HLOOKUP(INDIRECT(ADDRESS(2,COLUMN())),OFFSET($BN$2,0,0,ROW()-1,60),ROW()-1,FALSE))</f>
        <v>7906.2920000000004</v>
      </c>
      <c r="W81">
        <f ca="1">IF(AND(ISNUMBER($W$220),$B$145=1),$W$220,HLOOKUP(INDIRECT(ADDRESS(2,COLUMN())),OFFSET($BN$2,0,0,ROW()-1,60),ROW()-1,FALSE))</f>
        <v>7987.7550000000001</v>
      </c>
      <c r="X81">
        <f ca="1">IF(AND(ISNUMBER($X$220),$B$145=1),$X$220,HLOOKUP(INDIRECT(ADDRESS(2,COLUMN())),OFFSET($BN$2,0,0,ROW()-1,60),ROW()-1,FALSE))</f>
        <v>9768.2849999999999</v>
      </c>
      <c r="Y81">
        <f ca="1">IF(AND(ISNUMBER($Y$220),$B$145=1),$Y$220,HLOOKUP(INDIRECT(ADDRESS(2,COLUMN())),OFFSET($BN$2,0,0,ROW()-1,60),ROW()-1,FALSE))</f>
        <v>10905.172</v>
      </c>
      <c r="Z81">
        <f ca="1">IF(AND(ISNUMBER($Z$220),$B$145=1),$Z$220,HLOOKUP(INDIRECT(ADDRESS(2,COLUMN())),OFFSET($BN$2,0,0,ROW()-1,60),ROW()-1,FALSE))</f>
        <v>6008.6360000000004</v>
      </c>
      <c r="AA81">
        <f ca="1">IF(AND(ISNUMBER($AA$220),$B$145=1),$AA$220,HLOOKUP(INDIRECT(ADDRESS(2,COLUMN())),OFFSET($BN$2,0,0,ROW()-1,60),ROW()-1,FALSE))</f>
        <v>6700.6419999999998</v>
      </c>
      <c r="AB81">
        <f ca="1">IF(AND(ISNUMBER($AB$220),$B$145=1),$AB$220,HLOOKUP(INDIRECT(ADDRESS(2,COLUMN())),OFFSET($BN$2,0,0,ROW()-1,60),ROW()-1,FALSE))</f>
        <v>5425.6880000000001</v>
      </c>
      <c r="AC81">
        <f ca="1">IF(AND(ISNUMBER($AC$220),$B$145=1),$AC$220,HLOOKUP(INDIRECT(ADDRESS(2,COLUMN())),OFFSET($BN$2,0,0,ROW()-1,60),ROW()-1,FALSE))</f>
        <v>5281.3220000000001</v>
      </c>
      <c r="AD81">
        <f ca="1">IF(AND(ISNUMBER($AD$220),$B$145=1),$AD$220,HLOOKUP(INDIRECT(ADDRESS(2,COLUMN())),OFFSET($BN$2,0,0,ROW()-1,60),ROW()-1,FALSE))</f>
        <v>5342.2250000000004</v>
      </c>
      <c r="AE81">
        <f ca="1">IF(AND(ISNUMBER($AE$220),$B$145=1),$AE$220,HLOOKUP(INDIRECT(ADDRESS(2,COLUMN())),OFFSET($BN$2,0,0,ROW()-1,60),ROW()-1,FALSE))</f>
        <v>4815.875</v>
      </c>
      <c r="AF81">
        <f ca="1">IF(AND(ISNUMBER($AF$220),$B$145=1),$AF$220,HLOOKUP(INDIRECT(ADDRESS(2,COLUMN())),OFFSET($BN$2,0,0,ROW()-1,60),ROW()-1,FALSE))</f>
        <v>4267.1559999999999</v>
      </c>
      <c r="AG81">
        <f ca="1">IF(AND(ISNUMBER($AG$220),$B$145=1),$AG$220,HLOOKUP(INDIRECT(ADDRESS(2,COLUMN())),OFFSET($BN$2,0,0,ROW()-1,60),ROW()-1,FALSE))</f>
        <v>3750.9470000000001</v>
      </c>
      <c r="AH81">
        <f ca="1">IF(AND(ISNUMBER($AH$220),$B$145=1),$AH$220,HLOOKUP(INDIRECT(ADDRESS(2,COLUMN())),OFFSET($BN$2,0,0,ROW()-1,60),ROW()-1,FALSE))</f>
        <v>4764.2380000000003</v>
      </c>
      <c r="AI81">
        <f ca="1">IF(AND(ISNUMBER($AI$220),$B$145=1),$AI$220,HLOOKUP(INDIRECT(ADDRESS(2,COLUMN())),OFFSET($BN$2,0,0,ROW()-1,60),ROW()-1,FALSE))</f>
        <v>4309.46</v>
      </c>
      <c r="AJ81">
        <f ca="1">IF(AND(ISNUMBER($AJ$220),$B$145=1),$AJ$220,HLOOKUP(INDIRECT(ADDRESS(2,COLUMN())),OFFSET($BN$2,0,0,ROW()-1,60),ROW()-1,FALSE))</f>
        <v>4757.0029999999997</v>
      </c>
      <c r="AK81">
        <f ca="1">IF(AND(ISNUMBER($AK$220),$B$145=1),$AK$220,HLOOKUP(INDIRECT(ADDRESS(2,COLUMN())),OFFSET($BN$2,0,0,ROW()-1,60),ROW()-1,FALSE))</f>
        <v>4301.4489999999996</v>
      </c>
      <c r="AL81">
        <f ca="1">IF(AND(ISNUMBER($AL$220),$B$145=1),$AL$220,HLOOKUP(INDIRECT(ADDRESS(2,COLUMN())),OFFSET($BN$2,0,0,ROW()-1,60),ROW()-1,FALSE))</f>
        <v>3919.2840000000001</v>
      </c>
      <c r="AM81">
        <f ca="1">IF(AND(ISNUMBER($AM$220),$B$145=1),$AM$220,HLOOKUP(INDIRECT(ADDRESS(2,COLUMN())),OFFSET($BN$2,0,0,ROW()-1,60),ROW()-1,FALSE))</f>
        <v>4615.9549999999999</v>
      </c>
      <c r="AN81">
        <f ca="1">IF(AND(ISNUMBER($AN$220),$B$145=1),$AN$220,HLOOKUP(INDIRECT(ADDRESS(2,COLUMN())),OFFSET($BN$2,0,0,ROW()-1,60),ROW()-1,FALSE))</f>
        <v>4193.3059999999996</v>
      </c>
      <c r="AO81">
        <f ca="1">IF(AND(ISNUMBER($AO$220),$B$145=1),$AO$220,HLOOKUP(INDIRECT(ADDRESS(2,COLUMN())),OFFSET($BN$2,0,0,ROW()-1,60),ROW()-1,FALSE))</f>
        <v>3792.598</v>
      </c>
      <c r="AP81">
        <f ca="1">IF(AND(ISNUMBER($AP$220),$B$145=1),$AP$220,HLOOKUP(INDIRECT(ADDRESS(2,COLUMN())),OFFSET($BN$2,0,0,ROW()-1,60),ROW()-1,FALSE))</f>
        <v>3353.81</v>
      </c>
      <c r="AQ81">
        <f ca="1">IF(AND(ISNUMBER($AQ$220),$B$145=1),$AQ$220,HLOOKUP(INDIRECT(ADDRESS(2,COLUMN())),OFFSET($BN$2,0,0,ROW()-1,60),ROW()-1,FALSE))</f>
        <v>3930.7890000000002</v>
      </c>
      <c r="AR81">
        <f ca="1">IF(AND(ISNUMBER($AR$220),$B$145=1),$AR$220,HLOOKUP(INDIRECT(ADDRESS(2,COLUMN())),OFFSET($BN$2,0,0,ROW()-1,60),ROW()-1,FALSE))</f>
        <v>4008.2449999999999</v>
      </c>
      <c r="AS81">
        <f ca="1">IF(AND(ISNUMBER($AS$220),$B$145=1),$AS$220,HLOOKUP(INDIRECT(ADDRESS(2,COLUMN())),OFFSET($BN$2,0,0,ROW()-1,60),ROW()-1,FALSE))</f>
        <v>4201.8190000000004</v>
      </c>
      <c r="AT81">
        <f ca="1">IF(AND(ISNUMBER($AT$220),$B$145=1),$AT$220,HLOOKUP(INDIRECT(ADDRESS(2,COLUMN())),OFFSET($BN$2,0,0,ROW()-1,60),ROW()-1,FALSE))</f>
        <v>4109.0519999999997</v>
      </c>
      <c r="AU81">
        <f ca="1">IF(AND(ISNUMBER($AU$220),$B$145=1),$AU$220,HLOOKUP(INDIRECT(ADDRESS(2,COLUMN())),OFFSET($BN$2,0,0,ROW()-1,60),ROW()-1,FALSE))</f>
        <v>4132.7719999999999</v>
      </c>
      <c r="AV81">
        <f ca="1">IF(AND(ISNUMBER($AV$220),$B$145=1),$AV$220,HLOOKUP(INDIRECT(ADDRESS(2,COLUMN())),OFFSET($BN$2,0,0,ROW()-1,60),ROW()-1,FALSE))</f>
        <v>3711.5520000000001</v>
      </c>
      <c r="AW81">
        <f ca="1">IF(AND(ISNUMBER($AW$220),$B$145=1),$AW$220,HLOOKUP(INDIRECT(ADDRESS(2,COLUMN())),OFFSET($BN$2,0,0,ROW()-1,60),ROW()-1,FALSE))</f>
        <v>3744.3989999999999</v>
      </c>
      <c r="AX81">
        <f ca="1">IF(AND(ISNUMBER($AX$220),$B$145=1),$AX$220,HLOOKUP(INDIRECT(ADDRESS(2,COLUMN())),OFFSET($BN$2,0,0,ROW()-1,60),ROW()-1,FALSE))</f>
        <v>4426.3850000000002</v>
      </c>
      <c r="AY81">
        <f ca="1">IF(AND(ISNUMBER($AY$220),$B$145=1),$AY$220,HLOOKUP(INDIRECT(ADDRESS(2,COLUMN())),OFFSET($BN$2,0,0,ROW()-1,60),ROW()-1,FALSE))</f>
        <v>2883.942</v>
      </c>
      <c r="AZ81">
        <f ca="1">IF(AND(ISNUMBER($AZ$220),$B$145=1),$AZ$220,HLOOKUP(INDIRECT(ADDRESS(2,COLUMN())),OFFSET($BN$2,0,0,ROW()-1,60),ROW()-1,FALSE))</f>
        <v>3174.6590000000001</v>
      </c>
      <c r="BA81">
        <f ca="1">IF(AND(ISNUMBER($BA$220),$B$145=1),$BA$220,HLOOKUP(INDIRECT(ADDRESS(2,COLUMN())),OFFSET($BN$2,0,0,ROW()-1,60),ROW()-1,FALSE))</f>
        <v>3241.991</v>
      </c>
      <c r="BB81">
        <f ca="1">IF(AND(ISNUMBER($BB$220),$B$145=1),$BB$220,HLOOKUP(INDIRECT(ADDRESS(2,COLUMN())),OFFSET($BN$2,0,0,ROW()-1,60),ROW()-1,FALSE))</f>
        <v>3037.0189999999998</v>
      </c>
      <c r="BC81">
        <f ca="1">IF(AND(ISNUMBER($BC$220),$B$145=1),$BC$220,HLOOKUP(INDIRECT(ADDRESS(2,COLUMN())),OFFSET($BN$2,0,0,ROW()-1,60),ROW()-1,FALSE))</f>
        <v>2858.0309999999999</v>
      </c>
      <c r="BD81">
        <f ca="1">IF(AND(ISNUMBER($BD$220),$B$145=1),$BD$220,HLOOKUP(INDIRECT(ADDRESS(2,COLUMN())),OFFSET($BN$2,0,0,ROW()-1,60),ROW()-1,FALSE))</f>
        <v>2403.5639999999999</v>
      </c>
      <c r="BE81">
        <f ca="1">IF(AND(ISNUMBER($BE$220),$B$145=1),$BE$220,HLOOKUP(INDIRECT(ADDRESS(2,COLUMN())),OFFSET($BN$2,0,0,ROW()-1,60),ROW()-1,FALSE))</f>
        <v>2782.5279999999998</v>
      </c>
      <c r="BF81">
        <f ca="1">IF(AND(ISNUMBER($BF$220),$B$145=1),$BF$220,HLOOKUP(INDIRECT(ADDRESS(2,COLUMN())),OFFSET($BN$2,0,0,ROW()-1,60),ROW()-1,FALSE))</f>
        <v>2703.8820000000001</v>
      </c>
      <c r="BG81">
        <f ca="1">IF(AND(ISNUMBER($BG$220),$B$145=1),$BG$220,HLOOKUP(INDIRECT(ADDRESS(2,COLUMN())),OFFSET($BN$2,0,0,ROW()-1,60),ROW()-1,FALSE))</f>
        <v>4054.268</v>
      </c>
      <c r="BH81">
        <f ca="1">IF(AND(ISNUMBER($BH$220),$B$145=1),$BH$220,HLOOKUP(INDIRECT(ADDRESS(2,COLUMN())),OFFSET($BN$2,0,0,ROW()-1,60),ROW()-1,FALSE))</f>
        <v>2152.3919999999998</v>
      </c>
      <c r="BI81">
        <f ca="1">IF(AND(ISNUMBER($BI$220),$B$145=1),$BI$220,HLOOKUP(INDIRECT(ADDRESS(2,COLUMN())),OFFSET($BN$2,0,0,ROW()-1,60),ROW()-1,FALSE))</f>
        <v>2963.5430000000001</v>
      </c>
      <c r="BJ81">
        <f ca="1">IF(AND(ISNUMBER($BJ$220),$B$145=1),$BJ$220,HLOOKUP(INDIRECT(ADDRESS(2,COLUMN())),OFFSET($BN$2,0,0,ROW()-1,60),ROW()-1,FALSE))</f>
        <v>2546.433</v>
      </c>
      <c r="BK81">
        <f ca="1">IF(AND(ISNUMBER($BK$220),$B$145=1),$BK$220,HLOOKUP(INDIRECT(ADDRESS(2,COLUMN())),OFFSET($BN$2,0,0,ROW()-1,60),ROW()-1,FALSE))</f>
        <v>1800.422</v>
      </c>
      <c r="BL81">
        <f ca="1">IF(AND(ISNUMBER($BL$220),$B$145=1),$BL$220,HLOOKUP(INDIRECT(ADDRESS(2,COLUMN())),OFFSET($BN$2,0,0,ROW()-1,60),ROW()-1,FALSE))</f>
        <v>2091.7730000000001</v>
      </c>
      <c r="BM81">
        <f ca="1">IF(AND(ISNUMBER($BM$220),$B$145=1),$BM$220,HLOOKUP(INDIRECT(ADDRESS(2,COLUMN())),OFFSET($BN$2,0,0,ROW()-1,60),ROW()-1,FALSE))</f>
        <v>1844.846</v>
      </c>
      <c r="BN81" t="str">
        <f>""</f>
        <v/>
      </c>
      <c r="BO81" t="str">
        <f>""</f>
        <v/>
      </c>
      <c r="BP81">
        <f>3279.331</f>
        <v>3279.3310000000001</v>
      </c>
      <c r="BQ81">
        <f>3406.662</f>
        <v>3406.6619999999998</v>
      </c>
      <c r="BR81">
        <f>3726.415</f>
        <v>3726.415</v>
      </c>
      <c r="BS81">
        <f>3581.552</f>
        <v>3581.5520000000001</v>
      </c>
      <c r="BT81">
        <f>3368.17</f>
        <v>3368.17</v>
      </c>
      <c r="BU81">
        <f>3343.955</f>
        <v>3343.9549999999999</v>
      </c>
      <c r="BV81">
        <f>3482.895</f>
        <v>3482.895</v>
      </c>
      <c r="BW81">
        <f>5119.976</f>
        <v>5119.9759999999997</v>
      </c>
      <c r="BX81">
        <f>5480.801</f>
        <v>5480.8010000000004</v>
      </c>
      <c r="BY81">
        <f>6488.787</f>
        <v>6488.7870000000003</v>
      </c>
      <c r="BZ81">
        <f>5515.532</f>
        <v>5515.5320000000002</v>
      </c>
      <c r="CA81">
        <f>7040.972</f>
        <v>7040.9719999999998</v>
      </c>
      <c r="CB81">
        <f>6382.483</f>
        <v>6382.4830000000002</v>
      </c>
      <c r="CC81">
        <f>5457.227</f>
        <v>5457.2269999999999</v>
      </c>
      <c r="CD81">
        <f>7906.292</f>
        <v>7906.2920000000004</v>
      </c>
      <c r="CE81">
        <f>7987.755</f>
        <v>7987.7550000000001</v>
      </c>
      <c r="CF81">
        <f>9768.285</f>
        <v>9768.2849999999999</v>
      </c>
      <c r="CG81">
        <f>10905.172</f>
        <v>10905.172</v>
      </c>
      <c r="CH81">
        <f>6008.636</f>
        <v>6008.6360000000004</v>
      </c>
      <c r="CI81">
        <f>6700.642</f>
        <v>6700.6419999999998</v>
      </c>
      <c r="CJ81">
        <f>5425.688</f>
        <v>5425.6880000000001</v>
      </c>
      <c r="CK81">
        <f>5281.322</f>
        <v>5281.3220000000001</v>
      </c>
      <c r="CL81">
        <f>5342.225</f>
        <v>5342.2250000000004</v>
      </c>
      <c r="CM81">
        <f>4815.875</f>
        <v>4815.875</v>
      </c>
      <c r="CN81">
        <f>4267.156</f>
        <v>4267.1559999999999</v>
      </c>
      <c r="CO81">
        <f>3750.947</f>
        <v>3750.9470000000001</v>
      </c>
      <c r="CP81">
        <f>4764.238</f>
        <v>4764.2380000000003</v>
      </c>
      <c r="CQ81">
        <f>4309.46</f>
        <v>4309.46</v>
      </c>
      <c r="CR81">
        <f>4757.003</f>
        <v>4757.0029999999997</v>
      </c>
      <c r="CS81">
        <f>4301.449</f>
        <v>4301.4489999999996</v>
      </c>
      <c r="CT81">
        <f>3919.284</f>
        <v>3919.2840000000001</v>
      </c>
      <c r="CU81">
        <f>4615.955</f>
        <v>4615.9549999999999</v>
      </c>
      <c r="CV81">
        <f>4193.306</f>
        <v>4193.3059999999996</v>
      </c>
      <c r="CW81">
        <f>3792.598</f>
        <v>3792.598</v>
      </c>
      <c r="CX81">
        <f>3353.81</f>
        <v>3353.81</v>
      </c>
      <c r="CY81">
        <f>3930.789</f>
        <v>3930.7890000000002</v>
      </c>
      <c r="CZ81">
        <f>4008.245</f>
        <v>4008.2449999999999</v>
      </c>
      <c r="DA81">
        <f>4201.819</f>
        <v>4201.8190000000004</v>
      </c>
      <c r="DB81">
        <f>4109.052</f>
        <v>4109.0519999999997</v>
      </c>
      <c r="DC81">
        <f>4132.772</f>
        <v>4132.7719999999999</v>
      </c>
      <c r="DD81">
        <f>3711.552</f>
        <v>3711.5520000000001</v>
      </c>
      <c r="DE81">
        <f>3744.399</f>
        <v>3744.3989999999999</v>
      </c>
      <c r="DF81">
        <f>4426.385</f>
        <v>4426.3850000000002</v>
      </c>
      <c r="DG81">
        <f>2883.942</f>
        <v>2883.942</v>
      </c>
      <c r="DH81">
        <f>3174.659</f>
        <v>3174.6590000000001</v>
      </c>
      <c r="DI81">
        <f>3241.991</f>
        <v>3241.991</v>
      </c>
      <c r="DJ81">
        <f>3037.019</f>
        <v>3037.0189999999998</v>
      </c>
      <c r="DK81">
        <f>2858.031</f>
        <v>2858.0309999999999</v>
      </c>
      <c r="DL81">
        <f>2403.564</f>
        <v>2403.5639999999999</v>
      </c>
      <c r="DM81">
        <f>2782.528</f>
        <v>2782.5279999999998</v>
      </c>
      <c r="DN81">
        <f>2703.882</f>
        <v>2703.8820000000001</v>
      </c>
      <c r="DO81">
        <f>4054.268</f>
        <v>4054.268</v>
      </c>
      <c r="DP81">
        <f>2152.392</f>
        <v>2152.3919999999998</v>
      </c>
      <c r="DQ81">
        <f>2963.543</f>
        <v>2963.5430000000001</v>
      </c>
      <c r="DR81">
        <f>2546.433</f>
        <v>2546.433</v>
      </c>
      <c r="DS81">
        <f>1800.422</f>
        <v>1800.422</v>
      </c>
      <c r="DT81">
        <f>2091.773</f>
        <v>2091.7730000000001</v>
      </c>
      <c r="DU81">
        <f>1844.846</f>
        <v>1844.846</v>
      </c>
    </row>
    <row r="82" spans="1:125" x14ac:dyDescent="0.25">
      <c r="A82" t="str">
        <f>"            Regions Financial Corp"</f>
        <v xml:space="preserve">            Regions Financial Corp</v>
      </c>
      <c r="B82" t="str">
        <f>"RF US Equity"</f>
        <v>RF US Equity</v>
      </c>
      <c r="C82" t="str">
        <f t="shared" si="9"/>
        <v>FC070</v>
      </c>
      <c r="D82" t="str">
        <f t="shared" si="10"/>
        <v>FDIC_TRADING_ACCT_ASSETS</v>
      </c>
      <c r="E82" t="str">
        <f t="shared" si="11"/>
        <v>Dynamic</v>
      </c>
      <c r="F82" t="str">
        <f ca="1">IF(AND(ISNUMBER($F$221),$B$145=1),$F$221,HLOOKUP(INDIRECT(ADDRESS(2,COLUMN())),OFFSET($BN$2,0,0,ROW()-1,60),ROW()-1,FALSE))</f>
        <v/>
      </c>
      <c r="G82">
        <f ca="1">IF(AND(ISNUMBER($G$221),$B$145=1),$G$221,HLOOKUP(INDIRECT(ADDRESS(2,COLUMN())),OFFSET($BN$2,0,0,ROW()-1,60),ROW()-1,FALSE))</f>
        <v>7</v>
      </c>
      <c r="H82">
        <f ca="1">IF(AND(ISNUMBER($H$221),$B$145=1),$H$221,HLOOKUP(INDIRECT(ADDRESS(2,COLUMN())),OFFSET($BN$2,0,0,ROW()-1,60),ROW()-1,FALSE))</f>
        <v>17</v>
      </c>
      <c r="I82">
        <f ca="1">IF(AND(ISNUMBER($I$221),$B$145=1),$I$221,HLOOKUP(INDIRECT(ADDRESS(2,COLUMN())),OFFSET($BN$2,0,0,ROW()-1,60),ROW()-1,FALSE))</f>
        <v>27</v>
      </c>
      <c r="J82">
        <f ca="1">IF(AND(ISNUMBER($J$221),$B$145=1),$J$221,HLOOKUP(INDIRECT(ADDRESS(2,COLUMN())),OFFSET($BN$2,0,0,ROW()-1,60),ROW()-1,FALSE))</f>
        <v>17</v>
      </c>
      <c r="K82">
        <f ca="1">IF(AND(ISNUMBER($K$221),$B$145=1),$K$221,HLOOKUP(INDIRECT(ADDRESS(2,COLUMN())),OFFSET($BN$2,0,0,ROW()-1,60),ROW()-1,FALSE))</f>
        <v>22</v>
      </c>
      <c r="L82">
        <f ca="1">IF(AND(ISNUMBER($L$221),$B$145=1),$L$221,HLOOKUP(INDIRECT(ADDRESS(2,COLUMN())),OFFSET($BN$2,0,0,ROW()-1,60),ROW()-1,FALSE))</f>
        <v>18</v>
      </c>
      <c r="M82">
        <f ca="1">IF(AND(ISNUMBER($M$221),$B$145=1),$M$221,HLOOKUP(INDIRECT(ADDRESS(2,COLUMN())),OFFSET($BN$2,0,0,ROW()-1,60),ROW()-1,FALSE))</f>
        <v>19</v>
      </c>
      <c r="N82">
        <f ca="1">IF(AND(ISNUMBER($N$221),$B$145=1),$N$221,HLOOKUP(INDIRECT(ADDRESS(2,COLUMN())),OFFSET($BN$2,0,0,ROW()-1,60),ROW()-1,FALSE))</f>
        <v>16</v>
      </c>
      <c r="O82">
        <f ca="1">IF(AND(ISNUMBER($O$221),$B$145=1),$O$221,HLOOKUP(INDIRECT(ADDRESS(2,COLUMN())),OFFSET($BN$2,0,0,ROW()-1,60),ROW()-1,FALSE))</f>
        <v>5</v>
      </c>
      <c r="P82">
        <f ca="1">IF(AND(ISNUMBER($P$221),$B$145=1),$P$221,HLOOKUP(INDIRECT(ADDRESS(2,COLUMN())),OFFSET($BN$2,0,0,ROW()-1,60),ROW()-1,FALSE))</f>
        <v>21</v>
      </c>
      <c r="Q82">
        <f ca="1">IF(AND(ISNUMBER($Q$221),$B$145=1),$Q$221,HLOOKUP(INDIRECT(ADDRESS(2,COLUMN())),OFFSET($BN$2,0,0,ROW()-1,60),ROW()-1,FALSE))</f>
        <v>16</v>
      </c>
      <c r="R82">
        <f ca="1">IF(AND(ISNUMBER($R$221),$B$145=1),$R$221,HLOOKUP(INDIRECT(ADDRESS(2,COLUMN())),OFFSET($BN$2,0,0,ROW()-1,60),ROW()-1,FALSE))</f>
        <v>13</v>
      </c>
      <c r="S82">
        <f ca="1">IF(AND(ISNUMBER($S$221),$B$145=1),$S$221,HLOOKUP(INDIRECT(ADDRESS(2,COLUMN())),OFFSET($BN$2,0,0,ROW()-1,60),ROW()-1,FALSE))</f>
        <v>9</v>
      </c>
      <c r="T82">
        <f ca="1">IF(AND(ISNUMBER($T$221),$B$145=1),$T$221,HLOOKUP(INDIRECT(ADDRESS(2,COLUMN())),OFFSET($BN$2,0,0,ROW()-1,60),ROW()-1,FALSE))</f>
        <v>16</v>
      </c>
      <c r="U82">
        <f ca="1">IF(AND(ISNUMBER($U$221),$B$145=1),$U$221,HLOOKUP(INDIRECT(ADDRESS(2,COLUMN())),OFFSET($BN$2,0,0,ROW()-1,60),ROW()-1,FALSE))</f>
        <v>6</v>
      </c>
      <c r="V82">
        <f ca="1">IF(AND(ISNUMBER($V$221),$B$145=1),$V$221,HLOOKUP(INDIRECT(ADDRESS(2,COLUMN())),OFFSET($BN$2,0,0,ROW()-1,60),ROW()-1,FALSE))</f>
        <v>854</v>
      </c>
      <c r="W82">
        <f ca="1">IF(AND(ISNUMBER($W$221),$B$145=1),$W$221,HLOOKUP(INDIRECT(ADDRESS(2,COLUMN())),OFFSET($BN$2,0,0,ROW()-1,60),ROW()-1,FALSE))</f>
        <v>956</v>
      </c>
      <c r="X82">
        <f ca="1">IF(AND(ISNUMBER($X$221),$B$145=1),$X$221,HLOOKUP(INDIRECT(ADDRESS(2,COLUMN())),OFFSET($BN$2,0,0,ROW()-1,60),ROW()-1,FALSE))</f>
        <v>1014</v>
      </c>
      <c r="Y82">
        <f ca="1">IF(AND(ISNUMBER($Y$221),$B$145=1),$Y$221,HLOOKUP(INDIRECT(ADDRESS(2,COLUMN())),OFFSET($BN$2,0,0,ROW()-1,60),ROW()-1,FALSE))</f>
        <v>913</v>
      </c>
      <c r="Z82">
        <f ca="1">IF(AND(ISNUMBER($Z$221),$B$145=1),$Z$221,HLOOKUP(INDIRECT(ADDRESS(2,COLUMN())),OFFSET($BN$2,0,0,ROW()-1,60),ROW()-1,FALSE))</f>
        <v>108</v>
      </c>
      <c r="AA82">
        <f ca="1">IF(AND(ISNUMBER($AA$221),$B$145=1),$AA$221,HLOOKUP(INDIRECT(ADDRESS(2,COLUMN())),OFFSET($BN$2,0,0,ROW()-1,60),ROW()-1,FALSE))</f>
        <v>159</v>
      </c>
      <c r="AB82">
        <f ca="1">IF(AND(ISNUMBER($AB$221),$B$145=1),$AB$221,HLOOKUP(INDIRECT(ADDRESS(2,COLUMN())),OFFSET($BN$2,0,0,ROW()-1,60),ROW()-1,FALSE))</f>
        <v>102</v>
      </c>
      <c r="AC82">
        <f ca="1">IF(AND(ISNUMBER($AC$221),$B$145=1),$AC$221,HLOOKUP(INDIRECT(ADDRESS(2,COLUMN())),OFFSET($BN$2,0,0,ROW()-1,60),ROW()-1,FALSE))</f>
        <v>84</v>
      </c>
      <c r="AD82">
        <f ca="1">IF(AND(ISNUMBER($AD$221),$B$145=1),$AD$221,HLOOKUP(INDIRECT(ADDRESS(2,COLUMN())),OFFSET($BN$2,0,0,ROW()-1,60),ROW()-1,FALSE))</f>
        <v>51.430999999999997</v>
      </c>
      <c r="AE82">
        <f ca="1">IF(AND(ISNUMBER($AE$221),$B$145=1),$AE$221,HLOOKUP(INDIRECT(ADDRESS(2,COLUMN())),OFFSET($BN$2,0,0,ROW()-1,60),ROW()-1,FALSE))</f>
        <v>76.582999999999998</v>
      </c>
      <c r="AF82">
        <f ca="1">IF(AND(ISNUMBER($AF$221),$B$145=1),$AF$221,HLOOKUP(INDIRECT(ADDRESS(2,COLUMN())),OFFSET($BN$2,0,0,ROW()-1,60),ROW()-1,FALSE))</f>
        <v>110.024</v>
      </c>
      <c r="AG82">
        <f ca="1">IF(AND(ISNUMBER($AG$221),$B$145=1),$AG$221,HLOOKUP(INDIRECT(ADDRESS(2,COLUMN())),OFFSET($BN$2,0,0,ROW()-1,60),ROW()-1,FALSE))</f>
        <v>85.778999999999996</v>
      </c>
      <c r="AH82">
        <f ca="1">IF(AND(ISNUMBER($AH$221),$B$145=1),$AH$221,HLOOKUP(INDIRECT(ADDRESS(2,COLUMN())),OFFSET($BN$2,0,0,ROW()-1,60),ROW()-1,FALSE))</f>
        <v>400.04399999999998</v>
      </c>
      <c r="AI82">
        <f ca="1">IF(AND(ISNUMBER($AI$221),$B$145=1),$AI$221,HLOOKUP(INDIRECT(ADDRESS(2,COLUMN())),OFFSET($BN$2,0,0,ROW()-1,60),ROW()-1,FALSE))</f>
        <v>383.351</v>
      </c>
      <c r="AJ82">
        <f ca="1">IF(AND(ISNUMBER($AJ$221),$B$145=1),$AJ$221,HLOOKUP(INDIRECT(ADDRESS(2,COLUMN())),OFFSET($BN$2,0,0,ROW()-1,60),ROW()-1,FALSE))</f>
        <v>381.37099999999998</v>
      </c>
      <c r="AK82">
        <f ca="1">IF(AND(ISNUMBER($AK$221),$B$145=1),$AK$221,HLOOKUP(INDIRECT(ADDRESS(2,COLUMN())),OFFSET($BN$2,0,0,ROW()-1,60),ROW()-1,FALSE))</f>
        <v>348.60199999999998</v>
      </c>
      <c r="AL82">
        <f ca="1">IF(AND(ISNUMBER($AL$221),$B$145=1),$AL$221,HLOOKUP(INDIRECT(ADDRESS(2,COLUMN())),OFFSET($BN$2,0,0,ROW()-1,60),ROW()-1,FALSE))</f>
        <v>373.685</v>
      </c>
      <c r="AM82">
        <f ca="1">IF(AND(ISNUMBER($AM$221),$B$145=1),$AM$221,HLOOKUP(INDIRECT(ADDRESS(2,COLUMN())),OFFSET($BN$2,0,0,ROW()-1,60),ROW()-1,FALSE))</f>
        <v>361.15600000000001</v>
      </c>
      <c r="AN82">
        <f ca="1">IF(AND(ISNUMBER($AN$221),$B$145=1),$AN$221,HLOOKUP(INDIRECT(ADDRESS(2,COLUMN())),OFFSET($BN$2,0,0,ROW()-1,60),ROW()-1,FALSE))</f>
        <v>346.96699999999998</v>
      </c>
      <c r="AO82">
        <f ca="1">IF(AND(ISNUMBER($AO$221),$B$145=1),$AO$221,HLOOKUP(INDIRECT(ADDRESS(2,COLUMN())),OFFSET($BN$2,0,0,ROW()-1,60),ROW()-1,FALSE))</f>
        <v>393.959</v>
      </c>
      <c r="AP82">
        <f ca="1">IF(AND(ISNUMBER($AP$221),$B$145=1),$AP$221,HLOOKUP(INDIRECT(ADDRESS(2,COLUMN())),OFFSET($BN$2,0,0,ROW()-1,60),ROW()-1,FALSE))</f>
        <v>382.07400000000001</v>
      </c>
      <c r="AQ82">
        <f ca="1">IF(AND(ISNUMBER($AQ$221),$B$145=1),$AQ$221,HLOOKUP(INDIRECT(ADDRESS(2,COLUMN())),OFFSET($BN$2,0,0,ROW()-1,60),ROW()-1,FALSE))</f>
        <v>385.601</v>
      </c>
      <c r="AR82">
        <f ca="1">IF(AND(ISNUMBER($AR$221),$B$145=1),$AR$221,HLOOKUP(INDIRECT(ADDRESS(2,COLUMN())),OFFSET($BN$2,0,0,ROW()-1,60),ROW()-1,FALSE))</f>
        <v>368.50299999999999</v>
      </c>
      <c r="AS82">
        <f ca="1">IF(AND(ISNUMBER($AS$221),$B$145=1),$AS$221,HLOOKUP(INDIRECT(ADDRESS(2,COLUMN())),OFFSET($BN$2,0,0,ROW()-1,60),ROW()-1,FALSE))</f>
        <v>417.68400000000003</v>
      </c>
      <c r="AT82">
        <f ca="1">IF(AND(ISNUMBER($AT$221),$B$145=1),$AT$221,HLOOKUP(INDIRECT(ADDRESS(2,COLUMN())),OFFSET($BN$2,0,0,ROW()-1,60),ROW()-1,FALSE))</f>
        <v>395.06700000000001</v>
      </c>
      <c r="AU82">
        <f ca="1">IF(AND(ISNUMBER($AU$221),$B$145=1),$AU$221,HLOOKUP(INDIRECT(ADDRESS(2,COLUMN())),OFFSET($BN$2,0,0,ROW()-1,60),ROW()-1,FALSE))</f>
        <v>412.69299999999998</v>
      </c>
      <c r="AV82">
        <f ca="1">IF(AND(ISNUMBER($AV$221),$B$145=1),$AV$221,HLOOKUP(INDIRECT(ADDRESS(2,COLUMN())),OFFSET($BN$2,0,0,ROW()-1,60),ROW()-1,FALSE))</f>
        <v>510.00599999999997</v>
      </c>
      <c r="AW82">
        <f ca="1">IF(AND(ISNUMBER($AW$221),$B$145=1),$AW$221,HLOOKUP(INDIRECT(ADDRESS(2,COLUMN())),OFFSET($BN$2,0,0,ROW()-1,60),ROW()-1,FALSE))</f>
        <v>504.88799999999998</v>
      </c>
      <c r="AX82">
        <f ca="1">IF(AND(ISNUMBER($AX$221),$B$145=1),$AX$221,HLOOKUP(INDIRECT(ADDRESS(2,COLUMN())),OFFSET($BN$2,0,0,ROW()-1,60),ROW()-1,FALSE))</f>
        <v>509.84399999999999</v>
      </c>
      <c r="AY82">
        <f ca="1">IF(AND(ISNUMBER($AY$221),$B$145=1),$AY$221,HLOOKUP(INDIRECT(ADDRESS(2,COLUMN())),OFFSET($BN$2,0,0,ROW()-1,60),ROW()-1,FALSE))</f>
        <v>549.59299999999996</v>
      </c>
      <c r="AZ82">
        <f ca="1">IF(AND(ISNUMBER($AZ$221),$B$145=1),$AZ$221,HLOOKUP(INDIRECT(ADDRESS(2,COLUMN())),OFFSET($BN$2,0,0,ROW()-1,60),ROW()-1,FALSE))</f>
        <v>533.44399999999996</v>
      </c>
      <c r="BA82">
        <f ca="1">IF(AND(ISNUMBER($BA$221),$B$145=1),$BA$221,HLOOKUP(INDIRECT(ADDRESS(2,COLUMN())),OFFSET($BN$2,0,0,ROW()-1,60),ROW()-1,FALSE))</f>
        <v>566.07600000000002</v>
      </c>
      <c r="BB82">
        <f ca="1">IF(AND(ISNUMBER($BB$221),$B$145=1),$BB$221,HLOOKUP(INDIRECT(ADDRESS(2,COLUMN())),OFFSET($BN$2,0,0,ROW()-1,60),ROW()-1,FALSE))</f>
        <v>696.81299999999999</v>
      </c>
      <c r="BC82">
        <f ca="1">IF(AND(ISNUMBER($BC$221),$B$145=1),$BC$221,HLOOKUP(INDIRECT(ADDRESS(2,COLUMN())),OFFSET($BN$2,0,0,ROW()-1,60),ROW()-1,FALSE))</f>
        <v>742.86199999999997</v>
      </c>
      <c r="BD82">
        <f ca="1">IF(AND(ISNUMBER($BD$221),$B$145=1),$BD$221,HLOOKUP(INDIRECT(ADDRESS(2,COLUMN())),OFFSET($BN$2,0,0,ROW()-1,60),ROW()-1,FALSE))</f>
        <v>777.33500000000004</v>
      </c>
      <c r="BE82">
        <f ca="1">IF(AND(ISNUMBER($BE$221),$B$145=1),$BE$221,HLOOKUP(INDIRECT(ADDRESS(2,COLUMN())),OFFSET($BN$2,0,0,ROW()-1,60),ROW()-1,FALSE))</f>
        <v>1988.665</v>
      </c>
      <c r="BF82">
        <f ca="1">IF(AND(ISNUMBER($BF$221),$B$145=1),$BF$221,HLOOKUP(INDIRECT(ADDRESS(2,COLUMN())),OFFSET($BN$2,0,0,ROW()-1,60),ROW()-1,FALSE))</f>
        <v>2268.9189999999999</v>
      </c>
      <c r="BG82">
        <f ca="1">IF(AND(ISNUMBER($BG$221),$B$145=1),$BG$221,HLOOKUP(INDIRECT(ADDRESS(2,COLUMN())),OFFSET($BN$2,0,0,ROW()-1,60),ROW()-1,FALSE))</f>
        <v>2340.8719999999998</v>
      </c>
      <c r="BH82">
        <f ca="1">IF(AND(ISNUMBER($BH$221),$B$145=1),$BH$221,HLOOKUP(INDIRECT(ADDRESS(2,COLUMN())),OFFSET($BN$2,0,0,ROW()-1,60),ROW()-1,FALSE))</f>
        <v>2040.318</v>
      </c>
      <c r="BI82">
        <f ca="1">IF(AND(ISNUMBER($BI$221),$B$145=1),$BI$221,HLOOKUP(INDIRECT(ADDRESS(2,COLUMN())),OFFSET($BN$2,0,0,ROW()-1,60),ROW()-1,FALSE))</f>
        <v>2029.347</v>
      </c>
      <c r="BJ82">
        <f ca="1">IF(AND(ISNUMBER($BJ$221),$B$145=1),$BJ$221,HLOOKUP(INDIRECT(ADDRESS(2,COLUMN())),OFFSET($BN$2,0,0,ROW()-1,60),ROW()-1,FALSE))</f>
        <v>1977.6089999999999</v>
      </c>
      <c r="BK82">
        <f ca="1">IF(AND(ISNUMBER($BK$221),$B$145=1),$BK$221,HLOOKUP(INDIRECT(ADDRESS(2,COLUMN())),OFFSET($BN$2,0,0,ROW()-1,60),ROW()-1,FALSE))</f>
        <v>2626.85</v>
      </c>
      <c r="BL82">
        <f ca="1">IF(AND(ISNUMBER($BL$221),$B$145=1),$BL$221,HLOOKUP(INDIRECT(ADDRESS(2,COLUMN())),OFFSET($BN$2,0,0,ROW()-1,60),ROW()-1,FALSE))</f>
        <v>2106.04</v>
      </c>
      <c r="BM82">
        <f ca="1">IF(AND(ISNUMBER($BM$221),$B$145=1),$BM$221,HLOOKUP(INDIRECT(ADDRESS(2,COLUMN())),OFFSET($BN$2,0,0,ROW()-1,60),ROW()-1,FALSE))</f>
        <v>1904.5419999999999</v>
      </c>
      <c r="BN82" t="str">
        <f>""</f>
        <v/>
      </c>
      <c r="BO82">
        <f>7</f>
        <v>7</v>
      </c>
      <c r="BP82">
        <f>17</f>
        <v>17</v>
      </c>
      <c r="BQ82">
        <f>27</f>
        <v>27</v>
      </c>
      <c r="BR82">
        <f>17</f>
        <v>17</v>
      </c>
      <c r="BS82">
        <f>22</f>
        <v>22</v>
      </c>
      <c r="BT82">
        <f>18</f>
        <v>18</v>
      </c>
      <c r="BU82">
        <f>19</f>
        <v>19</v>
      </c>
      <c r="BV82">
        <f>16</f>
        <v>16</v>
      </c>
      <c r="BW82">
        <f>5</f>
        <v>5</v>
      </c>
      <c r="BX82">
        <f>21</f>
        <v>21</v>
      </c>
      <c r="BY82">
        <f>16</f>
        <v>16</v>
      </c>
      <c r="BZ82">
        <f>13</f>
        <v>13</v>
      </c>
      <c r="CA82">
        <f>9</f>
        <v>9</v>
      </c>
      <c r="CB82">
        <f>16</f>
        <v>16</v>
      </c>
      <c r="CC82">
        <f>6</f>
        <v>6</v>
      </c>
      <c r="CD82">
        <f>854</f>
        <v>854</v>
      </c>
      <c r="CE82">
        <f>956</f>
        <v>956</v>
      </c>
      <c r="CF82">
        <f>1014</f>
        <v>1014</v>
      </c>
      <c r="CG82">
        <f>913</f>
        <v>913</v>
      </c>
      <c r="CH82">
        <f>108</f>
        <v>108</v>
      </c>
      <c r="CI82">
        <f>159</f>
        <v>159</v>
      </c>
      <c r="CJ82">
        <f>102</f>
        <v>102</v>
      </c>
      <c r="CK82">
        <f>84</f>
        <v>84</v>
      </c>
      <c r="CL82">
        <f>51.431</f>
        <v>51.430999999999997</v>
      </c>
      <c r="CM82">
        <f>76.583</f>
        <v>76.582999999999998</v>
      </c>
      <c r="CN82">
        <f>110.024</f>
        <v>110.024</v>
      </c>
      <c r="CO82">
        <f>85.779</f>
        <v>85.778999999999996</v>
      </c>
      <c r="CP82">
        <f>400.044</f>
        <v>400.04399999999998</v>
      </c>
      <c r="CQ82">
        <f>383.351</f>
        <v>383.351</v>
      </c>
      <c r="CR82">
        <f>381.371</f>
        <v>381.37099999999998</v>
      </c>
      <c r="CS82">
        <f>348.602</f>
        <v>348.60199999999998</v>
      </c>
      <c r="CT82">
        <f>373.685</f>
        <v>373.685</v>
      </c>
      <c r="CU82">
        <f>361.156</f>
        <v>361.15600000000001</v>
      </c>
      <c r="CV82">
        <f>346.967</f>
        <v>346.96699999999998</v>
      </c>
      <c r="CW82">
        <f>393.959</f>
        <v>393.959</v>
      </c>
      <c r="CX82">
        <f>382.074</f>
        <v>382.07400000000001</v>
      </c>
      <c r="CY82">
        <f>385.601</f>
        <v>385.601</v>
      </c>
      <c r="CZ82">
        <f>368.503</f>
        <v>368.50299999999999</v>
      </c>
      <c r="DA82">
        <f>417.684</f>
        <v>417.68400000000003</v>
      </c>
      <c r="DB82">
        <f>395.067</f>
        <v>395.06700000000001</v>
      </c>
      <c r="DC82">
        <f>412.693</f>
        <v>412.69299999999998</v>
      </c>
      <c r="DD82">
        <f>510.006</f>
        <v>510.00599999999997</v>
      </c>
      <c r="DE82">
        <f>504.888</f>
        <v>504.88799999999998</v>
      </c>
      <c r="DF82">
        <f>509.844</f>
        <v>509.84399999999999</v>
      </c>
      <c r="DG82">
        <f>549.593</f>
        <v>549.59299999999996</v>
      </c>
      <c r="DH82">
        <f>533.444</f>
        <v>533.44399999999996</v>
      </c>
      <c r="DI82">
        <f>566.076</f>
        <v>566.07600000000002</v>
      </c>
      <c r="DJ82">
        <f>696.813</f>
        <v>696.81299999999999</v>
      </c>
      <c r="DK82">
        <f>742.862</f>
        <v>742.86199999999997</v>
      </c>
      <c r="DL82">
        <f>777.335</f>
        <v>777.33500000000004</v>
      </c>
      <c r="DM82">
        <f>1988.665</f>
        <v>1988.665</v>
      </c>
      <c r="DN82">
        <f>2268.919</f>
        <v>2268.9189999999999</v>
      </c>
      <c r="DO82">
        <f>2340.872</f>
        <v>2340.8719999999998</v>
      </c>
      <c r="DP82">
        <f>2040.318</f>
        <v>2040.318</v>
      </c>
      <c r="DQ82">
        <f>2029.347</f>
        <v>2029.347</v>
      </c>
      <c r="DR82">
        <f>1977.609</f>
        <v>1977.6089999999999</v>
      </c>
      <c r="DS82">
        <f>2626.85</f>
        <v>2626.85</v>
      </c>
      <c r="DT82">
        <f>2106.04</f>
        <v>2106.04</v>
      </c>
      <c r="DU82">
        <f>1904.542</f>
        <v>1904.5419999999999</v>
      </c>
    </row>
    <row r="83" spans="1:125" x14ac:dyDescent="0.25">
      <c r="A83" t="str">
        <f>"            Truist Financial Corp"</f>
        <v xml:space="preserve">            Truist Financial Corp</v>
      </c>
      <c r="B83" t="str">
        <f>"TFC US Equity"</f>
        <v>TFC US Equity</v>
      </c>
      <c r="C83" t="str">
        <f t="shared" si="9"/>
        <v>FC070</v>
      </c>
      <c r="D83" t="str">
        <f t="shared" si="10"/>
        <v>FDIC_TRADING_ACCT_ASSETS</v>
      </c>
      <c r="E83" t="str">
        <f t="shared" si="11"/>
        <v>Dynamic</v>
      </c>
      <c r="F83">
        <f ca="1">IF(AND(ISNUMBER($F$222),$B$145=1),$F$222,HLOOKUP(INDIRECT(ADDRESS(2,COLUMN())),OFFSET($BN$2,0,0,ROW()-1,60),ROW()-1,FALSE))</f>
        <v>6042</v>
      </c>
      <c r="G83">
        <f ca="1">IF(AND(ISNUMBER($G$222),$B$145=1),$G$222,HLOOKUP(INDIRECT(ADDRESS(2,COLUMN())),OFFSET($BN$2,0,0,ROW()-1,60),ROW()-1,FALSE))</f>
        <v>6546</v>
      </c>
      <c r="H83">
        <f ca="1">IF(AND(ISNUMBER($H$222),$B$145=1),$H$222,HLOOKUP(INDIRECT(ADDRESS(2,COLUMN())),OFFSET($BN$2,0,0,ROW()-1,60),ROW()-1,FALSE))</f>
        <v>6642</v>
      </c>
      <c r="I83">
        <f ca="1">IF(AND(ISNUMBER($I$222),$B$145=1),$I$222,HLOOKUP(INDIRECT(ADDRESS(2,COLUMN())),OFFSET($BN$2,0,0,ROW()-1,60),ROW()-1,FALSE))</f>
        <v>6352</v>
      </c>
      <c r="J83">
        <f ca="1">IF(AND(ISNUMBER($J$222),$B$145=1),$J$222,HLOOKUP(INDIRECT(ADDRESS(2,COLUMN())),OFFSET($BN$2,0,0,ROW()-1,60),ROW()-1,FALSE))</f>
        <v>5274</v>
      </c>
      <c r="K83">
        <f ca="1">IF(AND(ISNUMBER($K$222),$B$145=1),$K$222,HLOOKUP(INDIRECT(ADDRESS(2,COLUMN())),OFFSET($BN$2,0,0,ROW()-1,60),ROW()-1,FALSE))</f>
        <v>5064</v>
      </c>
      <c r="L83">
        <f ca="1">IF(AND(ISNUMBER($L$222),$B$145=1),$L$222,HLOOKUP(INDIRECT(ADDRESS(2,COLUMN())),OFFSET($BN$2,0,0,ROW()-1,60),ROW()-1,FALSE))</f>
        <v>4883</v>
      </c>
      <c r="M83">
        <f ca="1">IF(AND(ISNUMBER($M$222),$B$145=1),$M$222,HLOOKUP(INDIRECT(ADDRESS(2,COLUMN())),OFFSET($BN$2,0,0,ROW()-1,60),ROW()-1,FALSE))</f>
        <v>5282</v>
      </c>
      <c r="N83">
        <f ca="1">IF(AND(ISNUMBER($N$222),$B$145=1),$N$222,HLOOKUP(INDIRECT(ADDRESS(2,COLUMN())),OFFSET($BN$2,0,0,ROW()-1,60),ROW()-1,FALSE))</f>
        <v>5558</v>
      </c>
      <c r="O83">
        <f ca="1">IF(AND(ISNUMBER($O$222),$B$145=1),$O$222,HLOOKUP(INDIRECT(ADDRESS(2,COLUMN())),OFFSET($BN$2,0,0,ROW()-1,60),ROW()-1,FALSE))</f>
        <v>6858</v>
      </c>
      <c r="P83">
        <f ca="1">IF(AND(ISNUMBER($P$222),$B$145=1),$P$222,HLOOKUP(INDIRECT(ADDRESS(2,COLUMN())),OFFSET($BN$2,0,0,ROW()-1,60),ROW()-1,FALSE))</f>
        <v>6576</v>
      </c>
      <c r="Q83">
        <f ca="1">IF(AND(ISNUMBER($Q$222),$B$145=1),$Q$222,HLOOKUP(INDIRECT(ADDRESS(2,COLUMN())),OFFSET($BN$2,0,0,ROW()-1,60),ROW()-1,FALSE))</f>
        <v>7870</v>
      </c>
      <c r="R83">
        <f ca="1">IF(AND(ISNUMBER($R$222),$B$145=1),$R$222,HLOOKUP(INDIRECT(ADDRESS(2,COLUMN())),OFFSET($BN$2,0,0,ROW()-1,60),ROW()-1,FALSE))</f>
        <v>6751</v>
      </c>
      <c r="S83">
        <f ca="1">IF(AND(ISNUMBER($S$222),$B$145=1),$S$222,HLOOKUP(INDIRECT(ADDRESS(2,COLUMN())),OFFSET($BN$2,0,0,ROW()-1,60),ROW()-1,FALSE))</f>
        <v>9846</v>
      </c>
      <c r="T83">
        <f ca="1">IF(AND(ISNUMBER($T$222),$B$145=1),$T$222,HLOOKUP(INDIRECT(ADDRESS(2,COLUMN())),OFFSET($BN$2,0,0,ROW()-1,60),ROW()-1,FALSE))</f>
        <v>9052</v>
      </c>
      <c r="U83">
        <f ca="1">IF(AND(ISNUMBER($U$222),$B$145=1),$U$222,HLOOKUP(INDIRECT(ADDRESS(2,COLUMN())),OFFSET($BN$2,0,0,ROW()-1,60),ROW()-1,FALSE))</f>
        <v>7779</v>
      </c>
      <c r="V83">
        <f ca="1">IF(AND(ISNUMBER($V$222),$B$145=1),$V$222,HLOOKUP(INDIRECT(ADDRESS(2,COLUMN())),OFFSET($BN$2,0,0,ROW()-1,60),ROW()-1,FALSE))</f>
        <v>7510</v>
      </c>
      <c r="W83">
        <f ca="1">IF(AND(ISNUMBER($W$222),$B$145=1),$W$222,HLOOKUP(INDIRECT(ADDRESS(2,COLUMN())),OFFSET($BN$2,0,0,ROW()-1,60),ROW()-1,FALSE))</f>
        <v>8478</v>
      </c>
      <c r="X83">
        <f ca="1">IF(AND(ISNUMBER($X$222),$B$145=1),$X$222,HLOOKUP(INDIRECT(ADDRESS(2,COLUMN())),OFFSET($BN$2,0,0,ROW()-1,60),ROW()-1,FALSE))</f>
        <v>7809</v>
      </c>
      <c r="Y83">
        <f ca="1">IF(AND(ISNUMBER($Y$222),$B$145=1),$Y$222,HLOOKUP(INDIRECT(ADDRESS(2,COLUMN())),OFFSET($BN$2,0,0,ROW()-1,60),ROW()-1,FALSE))</f>
        <v>7711</v>
      </c>
      <c r="Z83">
        <f ca="1">IF(AND(ISNUMBER($Z$222),$B$145=1),$Z$222,HLOOKUP(INDIRECT(ADDRESS(2,COLUMN())),OFFSET($BN$2,0,0,ROW()-1,60),ROW()-1,FALSE))</f>
        <v>7732</v>
      </c>
      <c r="AA83">
        <f ca="1">IF(AND(ISNUMBER($AA$222),$B$145=1),$AA$222,HLOOKUP(INDIRECT(ADDRESS(2,COLUMN())),OFFSET($BN$2,0,0,ROW()-1,60),ROW()-1,FALSE))</f>
        <v>1059</v>
      </c>
      <c r="AB83">
        <f ca="1">IF(AND(ISNUMBER($AB$222),$B$145=1),$AB$222,HLOOKUP(INDIRECT(ADDRESS(2,COLUMN())),OFFSET($BN$2,0,0,ROW()-1,60),ROW()-1,FALSE))</f>
        <v>1906</v>
      </c>
      <c r="AC83">
        <f ca="1">IF(AND(ISNUMBER($AC$222),$B$145=1),$AC$222,HLOOKUP(INDIRECT(ADDRESS(2,COLUMN())),OFFSET($BN$2,0,0,ROW()-1,60),ROW()-1,FALSE))</f>
        <v>1777</v>
      </c>
      <c r="AD83">
        <f ca="1">IF(AND(ISNUMBER($AD$222),$B$145=1),$AD$222,HLOOKUP(INDIRECT(ADDRESS(2,COLUMN())),OFFSET($BN$2,0,0,ROW()-1,60),ROW()-1,FALSE))</f>
        <v>554</v>
      </c>
      <c r="AE83">
        <f ca="1">IF(AND(ISNUMBER($AE$222),$B$145=1),$AE$222,HLOOKUP(INDIRECT(ADDRESS(2,COLUMN())),OFFSET($BN$2,0,0,ROW()-1,60),ROW()-1,FALSE))</f>
        <v>769</v>
      </c>
      <c r="AF83">
        <f ca="1">IF(AND(ISNUMBER($AF$222),$B$145=1),$AF$222,HLOOKUP(INDIRECT(ADDRESS(2,COLUMN())),OFFSET($BN$2,0,0,ROW()-1,60),ROW()-1,FALSE))</f>
        <v>544</v>
      </c>
      <c r="AG83">
        <f ca="1">IF(AND(ISNUMBER($AG$222),$B$145=1),$AG$222,HLOOKUP(INDIRECT(ADDRESS(2,COLUMN())),OFFSET($BN$2,0,0,ROW()-1,60),ROW()-1,FALSE))</f>
        <v>359</v>
      </c>
      <c r="AH83">
        <f ca="1">IF(AND(ISNUMBER($AH$222),$B$145=1),$AH$222,HLOOKUP(INDIRECT(ADDRESS(2,COLUMN())),OFFSET($BN$2,0,0,ROW()-1,60),ROW()-1,FALSE))</f>
        <v>842</v>
      </c>
      <c r="AI83">
        <f ca="1">IF(AND(ISNUMBER($AI$222),$B$145=1),$AI$222,HLOOKUP(INDIRECT(ADDRESS(2,COLUMN())),OFFSET($BN$2,0,0,ROW()-1,60),ROW()-1,FALSE))</f>
        <v>1336</v>
      </c>
      <c r="AJ83">
        <f ca="1">IF(AND(ISNUMBER($AJ$222),$B$145=1),$AJ$222,HLOOKUP(INDIRECT(ADDRESS(2,COLUMN())),OFFSET($BN$2,0,0,ROW()-1,60),ROW()-1,FALSE))</f>
        <v>1666</v>
      </c>
      <c r="AK83">
        <f ca="1">IF(AND(ISNUMBER($AK$222),$B$145=1),$AK$222,HLOOKUP(INDIRECT(ADDRESS(2,COLUMN())),OFFSET($BN$2,0,0,ROW()-1,60),ROW()-1,FALSE))</f>
        <v>1661.0450000000001</v>
      </c>
      <c r="AL83">
        <f ca="1">IF(AND(ISNUMBER($AL$222),$B$145=1),$AL$222,HLOOKUP(INDIRECT(ADDRESS(2,COLUMN())),OFFSET($BN$2,0,0,ROW()-1,60),ROW()-1,FALSE))</f>
        <v>1066.4949999999999</v>
      </c>
      <c r="AM83">
        <f ca="1">IF(AND(ISNUMBER($AM$222),$B$145=1),$AM$222,HLOOKUP(INDIRECT(ADDRESS(2,COLUMN())),OFFSET($BN$2,0,0,ROW()-1,60),ROW()-1,FALSE))</f>
        <v>1519.0920000000001</v>
      </c>
      <c r="AN83">
        <f ca="1">IF(AND(ISNUMBER($AN$222),$B$145=1),$AN$222,HLOOKUP(INDIRECT(ADDRESS(2,COLUMN())),OFFSET($BN$2,0,0,ROW()-1,60),ROW()-1,FALSE))</f>
        <v>1193.4079999999999</v>
      </c>
      <c r="AO83">
        <f ca="1">IF(AND(ISNUMBER($AO$222),$B$145=1),$AO$222,HLOOKUP(INDIRECT(ADDRESS(2,COLUMN())),OFFSET($BN$2,0,0,ROW()-1,60),ROW()-1,FALSE))</f>
        <v>1980.327</v>
      </c>
      <c r="AP83">
        <f ca="1">IF(AND(ISNUMBER($AP$222),$B$145=1),$AP$222,HLOOKUP(INDIRECT(ADDRESS(2,COLUMN())),OFFSET($BN$2,0,0,ROW()-1,60),ROW()-1,FALSE))</f>
        <v>1532.4290000000001</v>
      </c>
      <c r="AQ83">
        <f ca="1">IF(AND(ISNUMBER($AQ$222),$B$145=1),$AQ$222,HLOOKUP(INDIRECT(ADDRESS(2,COLUMN())),OFFSET($BN$2,0,0,ROW()-1,60),ROW()-1,FALSE))</f>
        <v>1260.3869999999999</v>
      </c>
      <c r="AR83">
        <f ca="1">IF(AND(ISNUMBER($AR$222),$B$145=1),$AR$222,HLOOKUP(INDIRECT(ADDRESS(2,COLUMN())),OFFSET($BN$2,0,0,ROW()-1,60),ROW()-1,FALSE))</f>
        <v>1062.9970000000001</v>
      </c>
      <c r="AS83">
        <f ca="1">IF(AND(ISNUMBER($AS$222),$B$145=1),$AS$222,HLOOKUP(INDIRECT(ADDRESS(2,COLUMN())),OFFSET($BN$2,0,0,ROW()-1,60),ROW()-1,FALSE))</f>
        <v>1293.008</v>
      </c>
      <c r="AT83">
        <f ca="1">IF(AND(ISNUMBER($AT$222),$B$145=1),$AT$222,HLOOKUP(INDIRECT(ADDRESS(2,COLUMN())),OFFSET($BN$2,0,0,ROW()-1,60),ROW()-1,FALSE))</f>
        <v>855.59100000000001</v>
      </c>
      <c r="AU83">
        <f ca="1">IF(AND(ISNUMBER($AU$222),$B$145=1),$AU$222,HLOOKUP(INDIRECT(ADDRESS(2,COLUMN())),OFFSET($BN$2,0,0,ROW()-1,60),ROW()-1,FALSE))</f>
        <v>828.35500000000002</v>
      </c>
      <c r="AV83">
        <f ca="1">IF(AND(ISNUMBER($AV$222),$B$145=1),$AV$222,HLOOKUP(INDIRECT(ADDRESS(2,COLUMN())),OFFSET($BN$2,0,0,ROW()-1,60),ROW()-1,FALSE))</f>
        <v>852.702</v>
      </c>
      <c r="AW83">
        <f ca="1">IF(AND(ISNUMBER($AW$222),$B$145=1),$AW$222,HLOOKUP(INDIRECT(ADDRESS(2,COLUMN())),OFFSET($BN$2,0,0,ROW()-1,60),ROW()-1,FALSE))</f>
        <v>910.85500000000002</v>
      </c>
      <c r="AX83">
        <f ca="1">IF(AND(ISNUMBER($AX$222),$B$145=1),$AX$222,HLOOKUP(INDIRECT(ADDRESS(2,COLUMN())),OFFSET($BN$2,0,0,ROW()-1,60),ROW()-1,FALSE))</f>
        <v>791.43200000000002</v>
      </c>
      <c r="AY83">
        <f ca="1">IF(AND(ISNUMBER($AY$222),$B$145=1),$AY$222,HLOOKUP(INDIRECT(ADDRESS(2,COLUMN())),OFFSET($BN$2,0,0,ROW()-1,60),ROW()-1,FALSE))</f>
        <v>980.779</v>
      </c>
      <c r="AZ83">
        <f ca="1">IF(AND(ISNUMBER($AZ$222),$B$145=1),$AZ$222,HLOOKUP(INDIRECT(ADDRESS(2,COLUMN())),OFFSET($BN$2,0,0,ROW()-1,60),ROW()-1,FALSE))</f>
        <v>1016.549</v>
      </c>
      <c r="BA83">
        <f ca="1">IF(AND(ISNUMBER($BA$222),$B$145=1),$BA$222,HLOOKUP(INDIRECT(ADDRESS(2,COLUMN())),OFFSET($BN$2,0,0,ROW()-1,60),ROW()-1,FALSE))</f>
        <v>1266.442</v>
      </c>
      <c r="BB83">
        <f ca="1">IF(AND(ISNUMBER($BB$222),$B$145=1),$BB$222,HLOOKUP(INDIRECT(ADDRESS(2,COLUMN())),OFFSET($BN$2,0,0,ROW()-1,60),ROW()-1,FALSE))</f>
        <v>1211.7470000000001</v>
      </c>
      <c r="BC83">
        <f ca="1">IF(AND(ISNUMBER($BC$222),$B$145=1),$BC$222,HLOOKUP(INDIRECT(ADDRESS(2,COLUMN())),OFFSET($BN$2,0,0,ROW()-1,60),ROW()-1,FALSE))</f>
        <v>1355.355</v>
      </c>
      <c r="BD83">
        <f ca="1">IF(AND(ISNUMBER($BD$222),$B$145=1),$BD$222,HLOOKUP(INDIRECT(ADDRESS(2,COLUMN())),OFFSET($BN$2,0,0,ROW()-1,60),ROW()-1,FALSE))</f>
        <v>1298.0039999999999</v>
      </c>
      <c r="BE83">
        <f ca="1">IF(AND(ISNUMBER($BE$222),$B$145=1),$BE$222,HLOOKUP(INDIRECT(ADDRESS(2,COLUMN())),OFFSET($BN$2,0,0,ROW()-1,60),ROW()-1,FALSE))</f>
        <v>1273.538</v>
      </c>
      <c r="BF83">
        <f ca="1">IF(AND(ISNUMBER($BF$222),$B$145=1),$BF$222,HLOOKUP(INDIRECT(ADDRESS(2,COLUMN())),OFFSET($BN$2,0,0,ROW()-1,60),ROW()-1,FALSE))</f>
        <v>1280.818</v>
      </c>
      <c r="BG83">
        <f ca="1">IF(AND(ISNUMBER($BG$222),$B$145=1),$BG$222,HLOOKUP(INDIRECT(ADDRESS(2,COLUMN())),OFFSET($BN$2,0,0,ROW()-1,60),ROW()-1,FALSE))</f>
        <v>1188.5989999999999</v>
      </c>
      <c r="BH83">
        <f ca="1">IF(AND(ISNUMBER($BH$222),$B$145=1),$BH$222,HLOOKUP(INDIRECT(ADDRESS(2,COLUMN())),OFFSET($BN$2,0,0,ROW()-1,60),ROW()-1,FALSE))</f>
        <v>1107.5060000000001</v>
      </c>
      <c r="BI83">
        <f ca="1">IF(AND(ISNUMBER($BI$222),$B$145=1),$BI$222,HLOOKUP(INDIRECT(ADDRESS(2,COLUMN())),OFFSET($BN$2,0,0,ROW()-1,60),ROW()-1,FALSE))</f>
        <v>1199.43</v>
      </c>
      <c r="BJ83">
        <f ca="1">IF(AND(ISNUMBER($BJ$222),$B$145=1),$BJ$222,HLOOKUP(INDIRECT(ADDRESS(2,COLUMN())),OFFSET($BN$2,0,0,ROW()-1,60),ROW()-1,FALSE))</f>
        <v>1178.92</v>
      </c>
      <c r="BK83">
        <f ca="1">IF(AND(ISNUMBER($BK$222),$B$145=1),$BK$222,HLOOKUP(INDIRECT(ADDRESS(2,COLUMN())),OFFSET($BN$2,0,0,ROW()-1,60),ROW()-1,FALSE))</f>
        <v>1340.7449999999999</v>
      </c>
      <c r="BL83">
        <f ca="1">IF(AND(ISNUMBER($BL$222),$B$145=1),$BL$222,HLOOKUP(INDIRECT(ADDRESS(2,COLUMN())),OFFSET($BN$2,0,0,ROW()-1,60),ROW()-1,FALSE))</f>
        <v>1231.133</v>
      </c>
      <c r="BM83" t="str">
        <f ca="1">IF(AND(ISNUMBER($BM$222),$B$145=1),$BM$222,HLOOKUP(INDIRECT(ADDRESS(2,COLUMN())),OFFSET($BN$2,0,0,ROW()-1,60),ROW()-1,FALSE))</f>
        <v/>
      </c>
      <c r="BN83">
        <f>6042</f>
        <v>6042</v>
      </c>
      <c r="BO83">
        <f>6546</f>
        <v>6546</v>
      </c>
      <c r="BP83">
        <f>6642</f>
        <v>6642</v>
      </c>
      <c r="BQ83">
        <f>6352</f>
        <v>6352</v>
      </c>
      <c r="BR83">
        <f>5274</f>
        <v>5274</v>
      </c>
      <c r="BS83">
        <f>5064</f>
        <v>5064</v>
      </c>
      <c r="BT83">
        <f>4883</f>
        <v>4883</v>
      </c>
      <c r="BU83">
        <f>5282</f>
        <v>5282</v>
      </c>
      <c r="BV83">
        <f>5558</f>
        <v>5558</v>
      </c>
      <c r="BW83">
        <f>6858</f>
        <v>6858</v>
      </c>
      <c r="BX83">
        <f>6576</f>
        <v>6576</v>
      </c>
      <c r="BY83">
        <f>7870</f>
        <v>7870</v>
      </c>
      <c r="BZ83">
        <f>6751</f>
        <v>6751</v>
      </c>
      <c r="CA83">
        <f>9846</f>
        <v>9846</v>
      </c>
      <c r="CB83">
        <f>9052</f>
        <v>9052</v>
      </c>
      <c r="CC83">
        <f>7779</f>
        <v>7779</v>
      </c>
      <c r="CD83">
        <f>7510</f>
        <v>7510</v>
      </c>
      <c r="CE83">
        <f>8478</f>
        <v>8478</v>
      </c>
      <c r="CF83">
        <f>7809</f>
        <v>7809</v>
      </c>
      <c r="CG83">
        <f>7711</f>
        <v>7711</v>
      </c>
      <c r="CH83">
        <f>7732</f>
        <v>7732</v>
      </c>
      <c r="CI83">
        <f>1059</f>
        <v>1059</v>
      </c>
      <c r="CJ83">
        <f>1906</f>
        <v>1906</v>
      </c>
      <c r="CK83">
        <f>1777</f>
        <v>1777</v>
      </c>
      <c r="CL83">
        <f>554</f>
        <v>554</v>
      </c>
      <c r="CM83">
        <f>769</f>
        <v>769</v>
      </c>
      <c r="CN83">
        <f>544</f>
        <v>544</v>
      </c>
      <c r="CO83">
        <f>359</f>
        <v>359</v>
      </c>
      <c r="CP83">
        <f>842</f>
        <v>842</v>
      </c>
      <c r="CQ83">
        <f>1336</f>
        <v>1336</v>
      </c>
      <c r="CR83">
        <f>1666</f>
        <v>1666</v>
      </c>
      <c r="CS83">
        <f>1661.045</f>
        <v>1661.0450000000001</v>
      </c>
      <c r="CT83">
        <f>1066.495</f>
        <v>1066.4949999999999</v>
      </c>
      <c r="CU83">
        <f>1519.092</f>
        <v>1519.0920000000001</v>
      </c>
      <c r="CV83">
        <f>1193.408</f>
        <v>1193.4079999999999</v>
      </c>
      <c r="CW83">
        <f>1980.327</f>
        <v>1980.327</v>
      </c>
      <c r="CX83">
        <f>1532.429</f>
        <v>1532.4290000000001</v>
      </c>
      <c r="CY83">
        <f>1260.387</f>
        <v>1260.3869999999999</v>
      </c>
      <c r="CZ83">
        <f>1062.997</f>
        <v>1062.9970000000001</v>
      </c>
      <c r="DA83">
        <f>1293.008</f>
        <v>1293.008</v>
      </c>
      <c r="DB83">
        <f>855.591</f>
        <v>855.59100000000001</v>
      </c>
      <c r="DC83">
        <f>828.355</f>
        <v>828.35500000000002</v>
      </c>
      <c r="DD83">
        <f>852.702</f>
        <v>852.702</v>
      </c>
      <c r="DE83">
        <f>910.855</f>
        <v>910.85500000000002</v>
      </c>
      <c r="DF83">
        <f>791.432</f>
        <v>791.43200000000002</v>
      </c>
      <c r="DG83">
        <f>980.779</f>
        <v>980.779</v>
      </c>
      <c r="DH83">
        <f>1016.549</f>
        <v>1016.549</v>
      </c>
      <c r="DI83">
        <f>1266.442</f>
        <v>1266.442</v>
      </c>
      <c r="DJ83">
        <f>1211.747</f>
        <v>1211.7470000000001</v>
      </c>
      <c r="DK83">
        <f>1355.355</f>
        <v>1355.355</v>
      </c>
      <c r="DL83">
        <f>1298.004</f>
        <v>1298.0039999999999</v>
      </c>
      <c r="DM83">
        <f>1273.538</f>
        <v>1273.538</v>
      </c>
      <c r="DN83">
        <f>1280.818</f>
        <v>1280.818</v>
      </c>
      <c r="DO83">
        <f>1188.599</f>
        <v>1188.5989999999999</v>
      </c>
      <c r="DP83">
        <f>1107.506</f>
        <v>1107.5060000000001</v>
      </c>
      <c r="DQ83">
        <f>1199.43</f>
        <v>1199.43</v>
      </c>
      <c r="DR83">
        <f>1178.92</f>
        <v>1178.92</v>
      </c>
      <c r="DS83">
        <f>1340.745</f>
        <v>1340.7449999999999</v>
      </c>
      <c r="DT83">
        <f>1231.133</f>
        <v>1231.133</v>
      </c>
      <c r="DU83" t="str">
        <f>""</f>
        <v/>
      </c>
    </row>
    <row r="84" spans="1:125" x14ac:dyDescent="0.25">
      <c r="A84" t="str">
        <f>"            US Bancorp"</f>
        <v xml:space="preserve">            US Bancorp</v>
      </c>
      <c r="B84" t="str">
        <f>"USB US Equity"</f>
        <v>USB US Equity</v>
      </c>
      <c r="C84" t="str">
        <f t="shared" si="9"/>
        <v>FC070</v>
      </c>
      <c r="D84" t="str">
        <f t="shared" si="10"/>
        <v>FDIC_TRADING_ACCT_ASSETS</v>
      </c>
      <c r="E84" t="str">
        <f t="shared" si="11"/>
        <v>Dynamic</v>
      </c>
      <c r="F84">
        <f ca="1">IF(AND(ISNUMBER($F$223),$B$145=1),$F$223,HLOOKUP(INDIRECT(ADDRESS(2,COLUMN())),OFFSET($BN$2,0,0,ROW()-1,60),ROW()-1,FALSE))</f>
        <v>5599</v>
      </c>
      <c r="G84">
        <f ca="1">IF(AND(ISNUMBER($G$223),$B$145=1),$G$223,HLOOKUP(INDIRECT(ADDRESS(2,COLUMN())),OFFSET($BN$2,0,0,ROW()-1,60),ROW()-1,FALSE))</f>
        <v>6057</v>
      </c>
      <c r="H84">
        <f ca="1">IF(AND(ISNUMBER($H$223),$B$145=1),$H$223,HLOOKUP(INDIRECT(ADDRESS(2,COLUMN())),OFFSET($BN$2,0,0,ROW()-1,60),ROW()-1,FALSE))</f>
        <v>5305</v>
      </c>
      <c r="I84">
        <f ca="1">IF(AND(ISNUMBER($I$223),$B$145=1),$I$223,HLOOKUP(INDIRECT(ADDRESS(2,COLUMN())),OFFSET($BN$2,0,0,ROW()-1,60),ROW()-1,FALSE))</f>
        <v>5245</v>
      </c>
      <c r="J84">
        <f ca="1">IF(AND(ISNUMBER($J$223),$B$145=1),$J$223,HLOOKUP(INDIRECT(ADDRESS(2,COLUMN())),OFFSET($BN$2,0,0,ROW()-1,60),ROW()-1,FALSE))</f>
        <v>5309</v>
      </c>
      <c r="K84">
        <f ca="1">IF(AND(ISNUMBER($K$223),$B$145=1),$K$223,HLOOKUP(INDIRECT(ADDRESS(2,COLUMN())),OFFSET($BN$2,0,0,ROW()-1,60),ROW()-1,FALSE))</f>
        <v>5263</v>
      </c>
      <c r="L84">
        <f ca="1">IF(AND(ISNUMBER($L$223),$B$145=1),$L$223,HLOOKUP(INDIRECT(ADDRESS(2,COLUMN())),OFFSET($BN$2,0,0,ROW()-1,60),ROW()-1,FALSE))</f>
        <v>6268</v>
      </c>
      <c r="M84">
        <f ca="1">IF(AND(ISNUMBER($M$223),$B$145=1),$M$223,HLOOKUP(INDIRECT(ADDRESS(2,COLUMN())),OFFSET($BN$2,0,0,ROW()-1,60),ROW()-1,FALSE))</f>
        <v>5278</v>
      </c>
      <c r="N84">
        <f ca="1">IF(AND(ISNUMBER($N$223),$B$145=1),$N$223,HLOOKUP(INDIRECT(ADDRESS(2,COLUMN())),OFFSET($BN$2,0,0,ROW()-1,60),ROW()-1,FALSE))</f>
        <v>4383</v>
      </c>
      <c r="O84">
        <f ca="1">IF(AND(ISNUMBER($O$223),$B$145=1),$O$223,HLOOKUP(INDIRECT(ADDRESS(2,COLUMN())),OFFSET($BN$2,0,0,ROW()-1,60),ROW()-1,FALSE))</f>
        <v>4704</v>
      </c>
      <c r="P84">
        <f ca="1">IF(AND(ISNUMBER($P$223),$B$145=1),$P$223,HLOOKUP(INDIRECT(ADDRESS(2,COLUMN())),OFFSET($BN$2,0,0,ROW()-1,60),ROW()-1,FALSE))</f>
        <v>3836</v>
      </c>
      <c r="Q84">
        <f ca="1">IF(AND(ISNUMBER($Q$223),$B$145=1),$Q$223,HLOOKUP(INDIRECT(ADDRESS(2,COLUMN())),OFFSET($BN$2,0,0,ROW()-1,60),ROW()-1,FALSE))</f>
        <v>3750</v>
      </c>
      <c r="R84">
        <f ca="1">IF(AND(ISNUMBER($R$223),$B$145=1),$R$223,HLOOKUP(INDIRECT(ADDRESS(2,COLUMN())),OFFSET($BN$2,0,0,ROW()-1,60),ROW()-1,FALSE))</f>
        <v>4398</v>
      </c>
      <c r="S84">
        <f ca="1">IF(AND(ISNUMBER($S$223),$B$145=1),$S$223,HLOOKUP(INDIRECT(ADDRESS(2,COLUMN())),OFFSET($BN$2,0,0,ROW()-1,60),ROW()-1,FALSE))</f>
        <v>4775</v>
      </c>
      <c r="T84">
        <f ca="1">IF(AND(ISNUMBER($T$223),$B$145=1),$T$223,HLOOKUP(INDIRECT(ADDRESS(2,COLUMN())),OFFSET($BN$2,0,0,ROW()-1,60),ROW()-1,FALSE))</f>
        <v>4915</v>
      </c>
      <c r="U84">
        <f ca="1">IF(AND(ISNUMBER($U$223),$B$145=1),$U$223,HLOOKUP(INDIRECT(ADDRESS(2,COLUMN())),OFFSET($BN$2,0,0,ROW()-1,60),ROW()-1,FALSE))</f>
        <v>4727</v>
      </c>
      <c r="V84">
        <f ca="1">IF(AND(ISNUMBER($V$223),$B$145=1),$V$223,HLOOKUP(INDIRECT(ADDRESS(2,COLUMN())),OFFSET($BN$2,0,0,ROW()-1,60),ROW()-1,FALSE))</f>
        <v>5744</v>
      </c>
      <c r="W84">
        <f ca="1">IF(AND(ISNUMBER($W$223),$B$145=1),$W$223,HLOOKUP(INDIRECT(ADDRESS(2,COLUMN())),OFFSET($BN$2,0,0,ROW()-1,60),ROW()-1,FALSE))</f>
        <v>5753</v>
      </c>
      <c r="X84">
        <f ca="1">IF(AND(ISNUMBER($X$223),$B$145=1),$X$223,HLOOKUP(INDIRECT(ADDRESS(2,COLUMN())),OFFSET($BN$2,0,0,ROW()-1,60),ROW()-1,FALSE))</f>
        <v>5879</v>
      </c>
      <c r="Y84">
        <f ca="1">IF(AND(ISNUMBER($Y$223),$B$145=1),$Y$223,HLOOKUP(INDIRECT(ADDRESS(2,COLUMN())),OFFSET($BN$2,0,0,ROW()-1,60),ROW()-1,FALSE))</f>
        <v>7027</v>
      </c>
      <c r="Z84">
        <f ca="1">IF(AND(ISNUMBER($Z$223),$B$145=1),$Z$223,HLOOKUP(INDIRECT(ADDRESS(2,COLUMN())),OFFSET($BN$2,0,0,ROW()-1,60),ROW()-1,FALSE))</f>
        <v>3702</v>
      </c>
      <c r="AA84">
        <f ca="1">IF(AND(ISNUMBER($AA$223),$B$145=1),$AA$223,HLOOKUP(INDIRECT(ADDRESS(2,COLUMN())),OFFSET($BN$2,0,0,ROW()-1,60),ROW()-1,FALSE))</f>
        <v>4586</v>
      </c>
      <c r="AB84">
        <f ca="1">IF(AND(ISNUMBER($AB$223),$B$145=1),$AB$223,HLOOKUP(INDIRECT(ADDRESS(2,COLUMN())),OFFSET($BN$2,0,0,ROW()-1,60),ROW()-1,FALSE))</f>
        <v>3526</v>
      </c>
      <c r="AC84">
        <f ca="1">IF(AND(ISNUMBER($AC$223),$B$145=1),$AC$223,HLOOKUP(INDIRECT(ADDRESS(2,COLUMN())),OFFSET($BN$2,0,0,ROW()-1,60),ROW()-1,FALSE))</f>
        <v>3073</v>
      </c>
      <c r="AD84">
        <f ca="1">IF(AND(ISNUMBER($AD$223),$B$145=1),$AD$223,HLOOKUP(INDIRECT(ADDRESS(2,COLUMN())),OFFSET($BN$2,0,0,ROW()-1,60),ROW()-1,FALSE))</f>
        <v>2662</v>
      </c>
      <c r="AE84">
        <f ca="1">IF(AND(ISNUMBER($AE$223),$B$145=1),$AE$223,HLOOKUP(INDIRECT(ADDRESS(2,COLUMN())),OFFSET($BN$2,0,0,ROW()-1,60),ROW()-1,FALSE))</f>
        <v>2592</v>
      </c>
      <c r="AF84">
        <f ca="1">IF(AND(ISNUMBER($AF$223),$B$145=1),$AF$223,HLOOKUP(INDIRECT(ADDRESS(2,COLUMN())),OFFSET($BN$2,0,0,ROW()-1,60),ROW()-1,FALSE))</f>
        <v>2436</v>
      </c>
      <c r="AG84">
        <f ca="1">IF(AND(ISNUMBER($AG$223),$B$145=1),$AG$223,HLOOKUP(INDIRECT(ADDRESS(2,COLUMN())),OFFSET($BN$2,0,0,ROW()-1,60),ROW()-1,FALSE))</f>
        <v>2919</v>
      </c>
      <c r="AH84">
        <f ca="1">IF(AND(ISNUMBER($AH$223),$B$145=1),$AH$223,HLOOKUP(INDIRECT(ADDRESS(2,COLUMN())),OFFSET($BN$2,0,0,ROW()-1,60),ROW()-1,FALSE))</f>
        <v>3078</v>
      </c>
      <c r="AI84">
        <f ca="1">IF(AND(ISNUMBER($AI$223),$B$145=1),$AI$223,HLOOKUP(INDIRECT(ADDRESS(2,COLUMN())),OFFSET($BN$2,0,0,ROW()-1,60),ROW()-1,FALSE))</f>
        <v>3204</v>
      </c>
      <c r="AJ84">
        <f ca="1">IF(AND(ISNUMBER($AJ$223),$B$145=1),$AJ$223,HLOOKUP(INDIRECT(ADDRESS(2,COLUMN())),OFFSET($BN$2,0,0,ROW()-1,60),ROW()-1,FALSE))</f>
        <v>3041</v>
      </c>
      <c r="AK84">
        <f ca="1">IF(AND(ISNUMBER($AK$223),$B$145=1),$AK$223,HLOOKUP(INDIRECT(ADDRESS(2,COLUMN())),OFFSET($BN$2,0,0,ROW()-1,60),ROW()-1,FALSE))</f>
        <v>3160</v>
      </c>
      <c r="AL84">
        <f ca="1">IF(AND(ISNUMBER($AL$223),$B$145=1),$AL$223,HLOOKUP(INDIRECT(ADDRESS(2,COLUMN())),OFFSET($BN$2,0,0,ROW()-1,60),ROW()-1,FALSE))</f>
        <v>3027</v>
      </c>
      <c r="AM84">
        <f ca="1">IF(AND(ISNUMBER($AM$223),$B$145=1),$AM$223,HLOOKUP(INDIRECT(ADDRESS(2,COLUMN())),OFFSET($BN$2,0,0,ROW()-1,60),ROW()-1,FALSE))</f>
        <v>4166</v>
      </c>
      <c r="AN84">
        <f ca="1">IF(AND(ISNUMBER($AN$223),$B$145=1),$AN$223,HLOOKUP(INDIRECT(ADDRESS(2,COLUMN())),OFFSET($BN$2,0,0,ROW()-1,60),ROW()-1,FALSE))</f>
        <v>3897</v>
      </c>
      <c r="AO84">
        <f ca="1">IF(AND(ISNUMBER($AO$223),$B$145=1),$AO$223,HLOOKUP(INDIRECT(ADDRESS(2,COLUMN())),OFFSET($BN$2,0,0,ROW()-1,60),ROW()-1,FALSE))</f>
        <v>3091</v>
      </c>
      <c r="AP84">
        <f ca="1">IF(AND(ISNUMBER($AP$223),$B$145=1),$AP$223,HLOOKUP(INDIRECT(ADDRESS(2,COLUMN())),OFFSET($BN$2,0,0,ROW()-1,60),ROW()-1,FALSE))</f>
        <v>2129</v>
      </c>
      <c r="AQ84">
        <f ca="1">IF(AND(ISNUMBER($AQ$223),$B$145=1),$AQ$223,HLOOKUP(INDIRECT(ADDRESS(2,COLUMN())),OFFSET($BN$2,0,0,ROW()-1,60),ROW()-1,FALSE))</f>
        <v>2525</v>
      </c>
      <c r="AR84">
        <f ca="1">IF(AND(ISNUMBER($AR$223),$B$145=1),$AR$223,HLOOKUP(INDIRECT(ADDRESS(2,COLUMN())),OFFSET($BN$2,0,0,ROW()-1,60),ROW()-1,FALSE))</f>
        <v>2225</v>
      </c>
      <c r="AS84">
        <f ca="1">IF(AND(ISNUMBER($AS$223),$B$145=1),$AS$223,HLOOKUP(INDIRECT(ADDRESS(2,COLUMN())),OFFSET($BN$2,0,0,ROW()-1,60),ROW()-1,FALSE))</f>
        <v>2604</v>
      </c>
      <c r="AT84">
        <f ca="1">IF(AND(ISNUMBER($AT$223),$B$145=1),$AT$223,HLOOKUP(INDIRECT(ADDRESS(2,COLUMN())),OFFSET($BN$2,0,0,ROW()-1,60),ROW()-1,FALSE))</f>
        <v>1957</v>
      </c>
      <c r="AU84">
        <f ca="1">IF(AND(ISNUMBER($AU$223),$B$145=1),$AU$223,HLOOKUP(INDIRECT(ADDRESS(2,COLUMN())),OFFSET($BN$2,0,0,ROW()-1,60),ROW()-1,FALSE))</f>
        <v>1946</v>
      </c>
      <c r="AV84">
        <f ca="1">IF(AND(ISNUMBER($AV$223),$B$145=1),$AV$223,HLOOKUP(INDIRECT(ADDRESS(2,COLUMN())),OFFSET($BN$2,0,0,ROW()-1,60),ROW()-1,FALSE))</f>
        <v>1698</v>
      </c>
      <c r="AW84">
        <f ca="1">IF(AND(ISNUMBER($AW$223),$B$145=1),$AW$223,HLOOKUP(INDIRECT(ADDRESS(2,COLUMN())),OFFSET($BN$2,0,0,ROW()-1,60),ROW()-1,FALSE))</f>
        <v>1733</v>
      </c>
      <c r="AX84">
        <f ca="1">IF(AND(ISNUMBER($AX$223),$B$145=1),$AX$223,HLOOKUP(INDIRECT(ADDRESS(2,COLUMN())),OFFSET($BN$2,0,0,ROW()-1,60),ROW()-1,FALSE))</f>
        <v>1434</v>
      </c>
      <c r="AY84">
        <f ca="1">IF(AND(ISNUMBER($AY$223),$B$145=1),$AY$223,HLOOKUP(INDIRECT(ADDRESS(2,COLUMN())),OFFSET($BN$2,0,0,ROW()-1,60),ROW()-1,FALSE))</f>
        <v>1812</v>
      </c>
      <c r="AZ84">
        <f ca="1">IF(AND(ISNUMBER($AZ$223),$B$145=1),$AZ$223,HLOOKUP(INDIRECT(ADDRESS(2,COLUMN())),OFFSET($BN$2,0,0,ROW()-1,60),ROW()-1,FALSE))</f>
        <v>1833</v>
      </c>
      <c r="BA84">
        <f ca="1">IF(AND(ISNUMBER($BA$223),$B$145=1),$BA$223,HLOOKUP(INDIRECT(ADDRESS(2,COLUMN())),OFFSET($BN$2,0,0,ROW()-1,60),ROW()-1,FALSE))</f>
        <v>1976</v>
      </c>
      <c r="BB84">
        <f ca="1">IF(AND(ISNUMBER($BB$223),$B$145=1),$BB$223,HLOOKUP(INDIRECT(ADDRESS(2,COLUMN())),OFFSET($BN$2,0,0,ROW()-1,60),ROW()-1,FALSE))</f>
        <v>1605</v>
      </c>
      <c r="BC84">
        <f ca="1">IF(AND(ISNUMBER($BC$223),$B$145=1),$BC$223,HLOOKUP(INDIRECT(ADDRESS(2,COLUMN())),OFFSET($BN$2,0,0,ROW()-1,60),ROW()-1,FALSE))</f>
        <v>2025</v>
      </c>
      <c r="BD84">
        <f ca="1">IF(AND(ISNUMBER($BD$223),$B$145=1),$BD$223,HLOOKUP(INDIRECT(ADDRESS(2,COLUMN())),OFFSET($BN$2,0,0,ROW()-1,60),ROW()-1,FALSE))</f>
        <v>1982</v>
      </c>
      <c r="BE84">
        <f ca="1">IF(AND(ISNUMBER($BE$223),$B$145=1),$BE$223,HLOOKUP(INDIRECT(ADDRESS(2,COLUMN())),OFFSET($BN$2,0,0,ROW()-1,60),ROW()-1,FALSE))</f>
        <v>1957</v>
      </c>
      <c r="BF84">
        <f ca="1">IF(AND(ISNUMBER($BF$223),$B$145=1),$BF$223,HLOOKUP(INDIRECT(ADDRESS(2,COLUMN())),OFFSET($BN$2,0,0,ROW()-1,60),ROW()-1,FALSE))</f>
        <v>2001</v>
      </c>
      <c r="BG84">
        <f ca="1">IF(AND(ISNUMBER($BG$223),$B$145=1),$BG$223,HLOOKUP(INDIRECT(ADDRESS(2,COLUMN())),OFFSET($BN$2,0,0,ROW()-1,60),ROW()-1,FALSE))</f>
        <v>2457</v>
      </c>
      <c r="BH84">
        <f ca="1">IF(AND(ISNUMBER($BH$223),$B$145=1),$BH$223,HLOOKUP(INDIRECT(ADDRESS(2,COLUMN())),OFFSET($BN$2,0,0,ROW()-1,60),ROW()-1,FALSE))</f>
        <v>1989</v>
      </c>
      <c r="BI84">
        <f ca="1">IF(AND(ISNUMBER($BI$223),$B$145=1),$BI$223,HLOOKUP(INDIRECT(ADDRESS(2,COLUMN())),OFFSET($BN$2,0,0,ROW()-1,60),ROW()-1,FALSE))</f>
        <v>1682</v>
      </c>
      <c r="BJ84">
        <f ca="1">IF(AND(ISNUMBER($BJ$223),$B$145=1),$BJ$223,HLOOKUP(INDIRECT(ADDRESS(2,COLUMN())),OFFSET($BN$2,0,0,ROW()-1,60),ROW()-1,FALSE))</f>
        <v>1701</v>
      </c>
      <c r="BK84">
        <f ca="1">IF(AND(ISNUMBER($BK$223),$B$145=1),$BK$223,HLOOKUP(INDIRECT(ADDRESS(2,COLUMN())),OFFSET($BN$2,0,0,ROW()-1,60),ROW()-1,FALSE))</f>
        <v>2127</v>
      </c>
      <c r="BL84">
        <f ca="1">IF(AND(ISNUMBER($BL$223),$B$145=1),$BL$223,HLOOKUP(INDIRECT(ADDRESS(2,COLUMN())),OFFSET($BN$2,0,0,ROW()-1,60),ROW()-1,FALSE))</f>
        <v>1846</v>
      </c>
      <c r="BM84" t="str">
        <f ca="1">IF(AND(ISNUMBER($BM$223),$B$145=1),$BM$223,HLOOKUP(INDIRECT(ADDRESS(2,COLUMN())),OFFSET($BN$2,0,0,ROW()-1,60),ROW()-1,FALSE))</f>
        <v/>
      </c>
      <c r="BN84">
        <f>5599</f>
        <v>5599</v>
      </c>
      <c r="BO84">
        <f>6057</f>
        <v>6057</v>
      </c>
      <c r="BP84">
        <f>5305</f>
        <v>5305</v>
      </c>
      <c r="BQ84">
        <f>5245</f>
        <v>5245</v>
      </c>
      <c r="BR84">
        <f>5309</f>
        <v>5309</v>
      </c>
      <c r="BS84">
        <f>5263</f>
        <v>5263</v>
      </c>
      <c r="BT84">
        <f>6268</f>
        <v>6268</v>
      </c>
      <c r="BU84">
        <f>5278</f>
        <v>5278</v>
      </c>
      <c r="BV84">
        <f>4383</f>
        <v>4383</v>
      </c>
      <c r="BW84">
        <f>4704</f>
        <v>4704</v>
      </c>
      <c r="BX84">
        <f>3836</f>
        <v>3836</v>
      </c>
      <c r="BY84">
        <f>3750</f>
        <v>3750</v>
      </c>
      <c r="BZ84">
        <f>4398</f>
        <v>4398</v>
      </c>
      <c r="CA84">
        <f>4775</f>
        <v>4775</v>
      </c>
      <c r="CB84">
        <f>4915</f>
        <v>4915</v>
      </c>
      <c r="CC84">
        <f>4727</f>
        <v>4727</v>
      </c>
      <c r="CD84">
        <f>5744</f>
        <v>5744</v>
      </c>
      <c r="CE84">
        <f>5753</f>
        <v>5753</v>
      </c>
      <c r="CF84">
        <f>5879</f>
        <v>5879</v>
      </c>
      <c r="CG84">
        <f>7027</f>
        <v>7027</v>
      </c>
      <c r="CH84">
        <f>3702</f>
        <v>3702</v>
      </c>
      <c r="CI84">
        <f>4586</f>
        <v>4586</v>
      </c>
      <c r="CJ84">
        <f>3526</f>
        <v>3526</v>
      </c>
      <c r="CK84">
        <f>3073</f>
        <v>3073</v>
      </c>
      <c r="CL84">
        <f>2662</f>
        <v>2662</v>
      </c>
      <c r="CM84">
        <f>2592</f>
        <v>2592</v>
      </c>
      <c r="CN84">
        <f>2436</f>
        <v>2436</v>
      </c>
      <c r="CO84">
        <f>2919</f>
        <v>2919</v>
      </c>
      <c r="CP84">
        <f>3078</f>
        <v>3078</v>
      </c>
      <c r="CQ84">
        <f>3204</f>
        <v>3204</v>
      </c>
      <c r="CR84">
        <f>3041</f>
        <v>3041</v>
      </c>
      <c r="CS84">
        <f>3160</f>
        <v>3160</v>
      </c>
      <c r="CT84">
        <f>3027</f>
        <v>3027</v>
      </c>
      <c r="CU84">
        <f>4166</f>
        <v>4166</v>
      </c>
      <c r="CV84">
        <f>3897</f>
        <v>3897</v>
      </c>
      <c r="CW84">
        <f>3091</f>
        <v>3091</v>
      </c>
      <c r="CX84">
        <f>2129</f>
        <v>2129</v>
      </c>
      <c r="CY84">
        <f>2525</f>
        <v>2525</v>
      </c>
      <c r="CZ84">
        <f>2225</f>
        <v>2225</v>
      </c>
      <c r="DA84">
        <f>2604</f>
        <v>2604</v>
      </c>
      <c r="DB84">
        <f>1957</f>
        <v>1957</v>
      </c>
      <c r="DC84">
        <f>1946</f>
        <v>1946</v>
      </c>
      <c r="DD84">
        <f>1698</f>
        <v>1698</v>
      </c>
      <c r="DE84">
        <f>1733</f>
        <v>1733</v>
      </c>
      <c r="DF84">
        <f>1434</f>
        <v>1434</v>
      </c>
      <c r="DG84">
        <f>1812</f>
        <v>1812</v>
      </c>
      <c r="DH84">
        <f>1833</f>
        <v>1833</v>
      </c>
      <c r="DI84">
        <f>1976</f>
        <v>1976</v>
      </c>
      <c r="DJ84">
        <f>1605</f>
        <v>1605</v>
      </c>
      <c r="DK84">
        <f>2025</f>
        <v>2025</v>
      </c>
      <c r="DL84">
        <f>1982</f>
        <v>1982</v>
      </c>
      <c r="DM84">
        <f>1957</f>
        <v>1957</v>
      </c>
      <c r="DN84">
        <f>2001</f>
        <v>2001</v>
      </c>
      <c r="DO84">
        <f>2457</f>
        <v>2457</v>
      </c>
      <c r="DP84">
        <f>1989</f>
        <v>1989</v>
      </c>
      <c r="DQ84">
        <f>1682</f>
        <v>1682</v>
      </c>
      <c r="DR84">
        <f>1701</f>
        <v>1701</v>
      </c>
      <c r="DS84">
        <f>2127</f>
        <v>2127</v>
      </c>
      <c r="DT84">
        <f>1846</f>
        <v>1846</v>
      </c>
      <c r="DU84" t="str">
        <f>""</f>
        <v/>
      </c>
    </row>
    <row r="85" spans="1:125" x14ac:dyDescent="0.25">
      <c r="A85" t="str">
        <f>"            Wells Fargo &amp; Co"</f>
        <v xml:space="preserve">            Wells Fargo &amp; Co</v>
      </c>
      <c r="B85" t="str">
        <f>"WFC US Equity"</f>
        <v>WFC US Equity</v>
      </c>
      <c r="C85" t="str">
        <f t="shared" si="9"/>
        <v>FC070</v>
      </c>
      <c r="D85" t="str">
        <f t="shared" si="10"/>
        <v>FDIC_TRADING_ACCT_ASSETS</v>
      </c>
      <c r="E85" t="str">
        <f t="shared" si="11"/>
        <v>Dynamic</v>
      </c>
      <c r="F85">
        <f ca="1">IF(AND(ISNUMBER($F$224),$B$145=1),$F$224,HLOOKUP(INDIRECT(ADDRESS(2,COLUMN())),OFFSET($BN$2,0,0,ROW()-1,60),ROW()-1,FALSE))</f>
        <v>163832</v>
      </c>
      <c r="G85">
        <f ca="1">IF(AND(ISNUMBER($G$224),$B$145=1),$G$224,HLOOKUP(INDIRECT(ADDRESS(2,COLUMN())),OFFSET($BN$2,0,0,ROW()-1,60),ROW()-1,FALSE))</f>
        <v>163144</v>
      </c>
      <c r="H85">
        <f ca="1">IF(AND(ISNUMBER($H$224),$B$145=1),$H$224,HLOOKUP(INDIRECT(ADDRESS(2,COLUMN())),OFFSET($BN$2,0,0,ROW()-1,60),ROW()-1,FALSE))</f>
        <v>163448</v>
      </c>
      <c r="I85">
        <f ca="1">IF(AND(ISNUMBER($I$224),$B$145=1),$I$224,HLOOKUP(INDIRECT(ADDRESS(2,COLUMN())),OFFSET($BN$2,0,0,ROW()-1,60),ROW()-1,FALSE))</f>
        <v>148459</v>
      </c>
      <c r="J85">
        <f ca="1">IF(AND(ISNUMBER($J$224),$B$145=1),$J$224,HLOOKUP(INDIRECT(ADDRESS(2,COLUMN())),OFFSET($BN$2,0,0,ROW()-1,60),ROW()-1,FALSE))</f>
        <v>135464</v>
      </c>
      <c r="K85">
        <f ca="1">IF(AND(ISNUMBER($K$224),$B$145=1),$K$224,HLOOKUP(INDIRECT(ADDRESS(2,COLUMN())),OFFSET($BN$2,0,0,ROW()-1,60),ROW()-1,FALSE))</f>
        <v>137594</v>
      </c>
      <c r="L85">
        <f ca="1">IF(AND(ISNUMBER($L$224),$B$145=1),$L$224,HLOOKUP(INDIRECT(ADDRESS(2,COLUMN())),OFFSET($BN$2,0,0,ROW()-1,60),ROW()-1,FALSE))</f>
        <v>146271</v>
      </c>
      <c r="M85">
        <f ca="1">IF(AND(ISNUMBER($M$224),$B$145=1),$M$224,HLOOKUP(INDIRECT(ADDRESS(2,COLUMN())),OFFSET($BN$2,0,0,ROW()-1,60),ROW()-1,FALSE))</f>
        <v>131457</v>
      </c>
      <c r="N85">
        <f ca="1">IF(AND(ISNUMBER($N$224),$B$145=1),$N$224,HLOOKUP(INDIRECT(ADDRESS(2,COLUMN())),OFFSET($BN$2,0,0,ROW()-1,60),ROW()-1,FALSE))</f>
        <v>136757</v>
      </c>
      <c r="O85">
        <f ca="1">IF(AND(ISNUMBER($O$224),$B$145=1),$O$224,HLOOKUP(INDIRECT(ADDRESS(2,COLUMN())),OFFSET($BN$2,0,0,ROW()-1,60),ROW()-1,FALSE))</f>
        <v>137656</v>
      </c>
      <c r="P85">
        <f ca="1">IF(AND(ISNUMBER($P$224),$B$145=1),$P$224,HLOOKUP(INDIRECT(ADDRESS(2,COLUMN())),OFFSET($BN$2,0,0,ROW()-1,60),ROW()-1,FALSE))</f>
        <v>140616</v>
      </c>
      <c r="Q85">
        <f ca="1">IF(AND(ISNUMBER($Q$224),$B$145=1),$Q$224,HLOOKUP(INDIRECT(ADDRESS(2,COLUMN())),OFFSET($BN$2,0,0,ROW()-1,60),ROW()-1,FALSE))</f>
        <v>151101</v>
      </c>
      <c r="R85">
        <f ca="1">IF(AND(ISNUMBER($R$224),$B$145=1),$R$224,HLOOKUP(INDIRECT(ADDRESS(2,COLUMN())),OFFSET($BN$2,0,0,ROW()-1,60),ROW()-1,FALSE))</f>
        <v>139162</v>
      </c>
      <c r="S85">
        <f ca="1">IF(AND(ISNUMBER($S$224),$B$145=1),$S$224,HLOOKUP(INDIRECT(ADDRESS(2,COLUMN())),OFFSET($BN$2,0,0,ROW()-1,60),ROW()-1,FALSE))</f>
        <v>147212</v>
      </c>
      <c r="T85">
        <f ca="1">IF(AND(ISNUMBER($T$224),$B$145=1),$T$224,HLOOKUP(INDIRECT(ADDRESS(2,COLUMN())),OFFSET($BN$2,0,0,ROW()-1,60),ROW()-1,FALSE))</f>
        <v>132611</v>
      </c>
      <c r="U85">
        <f ca="1">IF(AND(ISNUMBER($U$224),$B$145=1),$U$224,HLOOKUP(INDIRECT(ADDRESS(2,COLUMN())),OFFSET($BN$2,0,0,ROW()-1,60),ROW()-1,FALSE))</f>
        <v>119381</v>
      </c>
      <c r="V85">
        <f ca="1">IF(AND(ISNUMBER($V$224),$B$145=1),$V$224,HLOOKUP(INDIRECT(ADDRESS(2,COLUMN())),OFFSET($BN$2,0,0,ROW()-1,60),ROW()-1,FALSE))</f>
        <v>123607</v>
      </c>
      <c r="W85">
        <f ca="1">IF(AND(ISNUMBER($W$224),$B$145=1),$W$224,HLOOKUP(INDIRECT(ADDRESS(2,COLUMN())),OFFSET($BN$2,0,0,ROW()-1,60),ROW()-1,FALSE))</f>
        <v>111327</v>
      </c>
      <c r="X85">
        <f ca="1">IF(AND(ISNUMBER($X$224),$B$145=1),$X$224,HLOOKUP(INDIRECT(ADDRESS(2,COLUMN())),OFFSET($BN$2,0,0,ROW()-1,60),ROW()-1,FALSE))</f>
        <v>109230</v>
      </c>
      <c r="Y85">
        <f ca="1">IF(AND(ISNUMBER($Y$224),$B$145=1),$Y$224,HLOOKUP(INDIRECT(ADDRESS(2,COLUMN())),OFFSET($BN$2,0,0,ROW()-1,60),ROW()-1,FALSE))</f>
        <v>118377</v>
      </c>
      <c r="Z85">
        <f ca="1">IF(AND(ISNUMBER($Z$224),$B$145=1),$Z$224,HLOOKUP(INDIRECT(ADDRESS(2,COLUMN())),OFFSET($BN$2,0,0,ROW()-1,60),ROW()-1,FALSE))</f>
        <v>121507</v>
      </c>
      <c r="AA85">
        <f ca="1">IF(AND(ISNUMBER($AA$224),$B$145=1),$AA$224,HLOOKUP(INDIRECT(ADDRESS(2,COLUMN())),OFFSET($BN$2,0,0,ROW()-1,60),ROW()-1,FALSE))</f>
        <v>118562</v>
      </c>
      <c r="AB85">
        <f ca="1">IF(AND(ISNUMBER($AB$224),$B$145=1),$AB$224,HLOOKUP(INDIRECT(ADDRESS(2,COLUMN())),OFFSET($BN$2,0,0,ROW()-1,60),ROW()-1,FALSE))</f>
        <v>106509</v>
      </c>
      <c r="AC85">
        <f ca="1">IF(AND(ISNUMBER($AC$224),$B$145=1),$AC$224,HLOOKUP(INDIRECT(ADDRESS(2,COLUMN())),OFFSET($BN$2,0,0,ROW()-1,60),ROW()-1,FALSE))</f>
        <v>101502</v>
      </c>
      <c r="AD85">
        <f ca="1">IF(AND(ISNUMBER($AD$224),$B$145=1),$AD$224,HLOOKUP(INDIRECT(ADDRESS(2,COLUMN())),OFFSET($BN$2,0,0,ROW()-1,60),ROW()-1,FALSE))</f>
        <v>100315</v>
      </c>
      <c r="AE85">
        <f ca="1">IF(AND(ISNUMBER($AE$224),$B$145=1),$AE$224,HLOOKUP(INDIRECT(ADDRESS(2,COLUMN())),OFFSET($BN$2,0,0,ROW()-1,60),ROW()-1,FALSE))</f>
        <v>103706</v>
      </c>
      <c r="AF85">
        <f ca="1">IF(AND(ISNUMBER($AF$224),$B$145=1),$AF$224,HLOOKUP(INDIRECT(ADDRESS(2,COLUMN())),OFFSET($BN$2,0,0,ROW()-1,60),ROW()-1,FALSE))</f>
        <v>100001</v>
      </c>
      <c r="AG85">
        <f ca="1">IF(AND(ISNUMBER($AG$224),$B$145=1),$AG$224,HLOOKUP(INDIRECT(ADDRESS(2,COLUMN())),OFFSET($BN$2,0,0,ROW()-1,60),ROW()-1,FALSE))</f>
        <v>97420</v>
      </c>
      <c r="AH85">
        <f ca="1">IF(AND(ISNUMBER($AH$224),$B$145=1),$AH$224,HLOOKUP(INDIRECT(ADDRESS(2,COLUMN())),OFFSET($BN$2,0,0,ROW()-1,60),ROW()-1,FALSE))</f>
        <v>104040</v>
      </c>
      <c r="AI85">
        <f ca="1">IF(AND(ISNUMBER($AI$224),$B$145=1),$AI$224,HLOOKUP(INDIRECT(ADDRESS(2,COLUMN())),OFFSET($BN$2,0,0,ROW()-1,60),ROW()-1,FALSE))</f>
        <v>100575</v>
      </c>
      <c r="AJ85">
        <f ca="1">IF(AND(ISNUMBER($AJ$224),$B$145=1),$AJ$224,HLOOKUP(INDIRECT(ADDRESS(2,COLUMN())),OFFSET($BN$2,0,0,ROW()-1,60),ROW()-1,FALSE))</f>
        <v>95768</v>
      </c>
      <c r="AK85">
        <f ca="1">IF(AND(ISNUMBER($AK$224),$B$145=1),$AK$224,HLOOKUP(INDIRECT(ADDRESS(2,COLUMN())),OFFSET($BN$2,0,0,ROW()-1,60),ROW()-1,FALSE))</f>
        <v>91636</v>
      </c>
      <c r="AL85">
        <f ca="1">IF(AND(ISNUMBER($AL$224),$B$145=1),$AL$224,HLOOKUP(INDIRECT(ADDRESS(2,COLUMN())),OFFSET($BN$2,0,0,ROW()-1,60),ROW()-1,FALSE))</f>
        <v>86619</v>
      </c>
      <c r="AM85">
        <f ca="1">IF(AND(ISNUMBER($AM$224),$B$145=1),$AM$224,HLOOKUP(INDIRECT(ADDRESS(2,COLUMN())),OFFSET($BN$2,0,0,ROW()-1,60),ROW()-1,FALSE))</f>
        <v>85946</v>
      </c>
      <c r="AN85">
        <f ca="1">IF(AND(ISNUMBER($AN$224),$B$145=1),$AN$224,HLOOKUP(INDIRECT(ADDRESS(2,COLUMN())),OFFSET($BN$2,0,0,ROW()-1,60),ROW()-1,FALSE))</f>
        <v>80093</v>
      </c>
      <c r="AO85">
        <f ca="1">IF(AND(ISNUMBER($AO$224),$B$145=1),$AO$224,HLOOKUP(INDIRECT(ADDRESS(2,COLUMN())),OFFSET($BN$2,0,0,ROW()-1,60),ROW()-1,FALSE))</f>
        <v>73158</v>
      </c>
      <c r="AP85">
        <f ca="1">IF(AND(ISNUMBER($AP$224),$B$145=1),$AP$224,HLOOKUP(INDIRECT(ADDRESS(2,COLUMN())),OFFSET($BN$2,0,0,ROW()-1,60),ROW()-1,FALSE))</f>
        <v>77202</v>
      </c>
      <c r="AQ85">
        <f ca="1">IF(AND(ISNUMBER($AQ$224),$B$145=1),$AQ$224,HLOOKUP(INDIRECT(ADDRESS(2,COLUMN())),OFFSET($BN$2,0,0,ROW()-1,60),ROW()-1,FALSE))</f>
        <v>73894</v>
      </c>
      <c r="AR85">
        <f ca="1">IF(AND(ISNUMBER($AR$224),$B$145=1),$AR$224,HLOOKUP(INDIRECT(ADDRESS(2,COLUMN())),OFFSET($BN$2,0,0,ROW()-1,60),ROW()-1,FALSE))</f>
        <v>80236</v>
      </c>
      <c r="AS85">
        <f ca="1">IF(AND(ISNUMBER($AS$224),$B$145=1),$AS$224,HLOOKUP(INDIRECT(ADDRESS(2,COLUMN())),OFFSET($BN$2,0,0,ROW()-1,60),ROW()-1,FALSE))</f>
        <v>79278</v>
      </c>
      <c r="AT85">
        <f ca="1">IF(AND(ISNUMBER($AT$224),$B$145=1),$AT$224,HLOOKUP(INDIRECT(ADDRESS(2,COLUMN())),OFFSET($BN$2,0,0,ROW()-1,60),ROW()-1,FALSE))</f>
        <v>78255</v>
      </c>
      <c r="AU85">
        <f ca="1">IF(AND(ISNUMBER($AU$224),$B$145=1),$AU$224,HLOOKUP(INDIRECT(ADDRESS(2,COLUMN())),OFFSET($BN$2,0,0,ROW()-1,60),ROW()-1,FALSE))</f>
        <v>67755</v>
      </c>
      <c r="AV85">
        <f ca="1">IF(AND(ISNUMBER($AV$224),$B$145=1),$AV$224,HLOOKUP(INDIRECT(ADDRESS(2,COLUMN())),OFFSET($BN$2,0,0,ROW()-1,60),ROW()-1,FALSE))</f>
        <v>71674</v>
      </c>
      <c r="AW85">
        <f ca="1">IF(AND(ISNUMBER($AW$224),$B$145=1),$AW$224,HLOOKUP(INDIRECT(ADDRESS(2,COLUMN())),OFFSET($BN$2,0,0,ROW()-1,60),ROW()-1,FALSE))</f>
        <v>63753</v>
      </c>
      <c r="AX85">
        <f ca="1">IF(AND(ISNUMBER($AX$224),$B$145=1),$AX$224,HLOOKUP(INDIRECT(ADDRESS(2,COLUMN())),OFFSET($BN$2,0,0,ROW()-1,60),ROW()-1,FALSE))</f>
        <v>62813</v>
      </c>
      <c r="AY85">
        <f ca="1">IF(AND(ISNUMBER($AY$224),$B$145=1),$AY$224,HLOOKUP(INDIRECT(ADDRESS(2,COLUMN())),OFFSET($BN$2,0,0,ROW()-1,60),ROW()-1,FALSE))</f>
        <v>60203</v>
      </c>
      <c r="AZ85">
        <f ca="1">IF(AND(ISNUMBER($AZ$224),$B$145=1),$AZ$224,HLOOKUP(INDIRECT(ADDRESS(2,COLUMN())),OFFSET($BN$2,0,0,ROW()-1,60),ROW()-1,FALSE))</f>
        <v>58619</v>
      </c>
      <c r="BA85">
        <f ca="1">IF(AND(ISNUMBER($BA$224),$B$145=1),$BA$224,HLOOKUP(INDIRECT(ADDRESS(2,COLUMN())),OFFSET($BN$2,0,0,ROW()-1,60),ROW()-1,FALSE))</f>
        <v>62274</v>
      </c>
      <c r="BB85">
        <f ca="1">IF(AND(ISNUMBER($BB$224),$B$145=1),$BB$224,HLOOKUP(INDIRECT(ADDRESS(2,COLUMN())),OFFSET($BN$2,0,0,ROW()-1,60),ROW()-1,FALSE))</f>
        <v>57482</v>
      </c>
      <c r="BC85">
        <f ca="1">IF(AND(ISNUMBER($BC$224),$B$145=1),$BC$224,HLOOKUP(INDIRECT(ADDRESS(2,COLUMN())),OFFSET($BN$2,0,0,ROW()-1,60),ROW()-1,FALSE))</f>
        <v>60592</v>
      </c>
      <c r="BD85">
        <f ca="1">IF(AND(ISNUMBER($BD$224),$B$145=1),$BD$224,HLOOKUP(INDIRECT(ADDRESS(2,COLUMN())),OFFSET($BN$2,0,0,ROW()-1,60),ROW()-1,FALSE))</f>
        <v>64419</v>
      </c>
      <c r="BE85">
        <f ca="1">IF(AND(ISNUMBER($BE$224),$B$145=1),$BE$224,HLOOKUP(INDIRECT(ADDRESS(2,COLUMN())),OFFSET($BN$2,0,0,ROW()-1,60),ROW()-1,FALSE))</f>
        <v>75696</v>
      </c>
      <c r="BF85">
        <f ca="1">IF(AND(ISNUMBER($BF$224),$B$145=1),$BF$224,HLOOKUP(INDIRECT(ADDRESS(2,COLUMN())),OFFSET($BN$2,0,0,ROW()-1,60),ROW()-1,FALSE))</f>
        <v>77814</v>
      </c>
      <c r="BG85">
        <f ca="1">IF(AND(ISNUMBER($BG$224),$B$145=1),$BG$224,HLOOKUP(INDIRECT(ADDRESS(2,COLUMN())),OFFSET($BN$2,0,0,ROW()-1,60),ROW()-1,FALSE))</f>
        <v>57786</v>
      </c>
      <c r="BH85">
        <f ca="1">IF(AND(ISNUMBER($BH$224),$B$145=1),$BH$224,HLOOKUP(INDIRECT(ADDRESS(2,COLUMN())),OFFSET($BN$2,0,0,ROW()-1,60),ROW()-1,FALSE))</f>
        <v>54770</v>
      </c>
      <c r="BI85">
        <f ca="1">IF(AND(ISNUMBER($BI$224),$B$145=1),$BI$224,HLOOKUP(INDIRECT(ADDRESS(2,COLUMN())),OFFSET($BN$2,0,0,ROW()-1,60),ROW()-1,FALSE))</f>
        <v>57890</v>
      </c>
      <c r="BJ85">
        <f ca="1">IF(AND(ISNUMBER($BJ$224),$B$145=1),$BJ$224,HLOOKUP(INDIRECT(ADDRESS(2,COLUMN())),OFFSET($BN$2,0,0,ROW()-1,60),ROW()-1,FALSE))</f>
        <v>51414</v>
      </c>
      <c r="BK85">
        <f ca="1">IF(AND(ISNUMBER($BK$224),$B$145=1),$BK$224,HLOOKUP(INDIRECT(ADDRESS(2,COLUMN())),OFFSET($BN$2,0,0,ROW()-1,60),ROW()-1,FALSE))</f>
        <v>49271</v>
      </c>
      <c r="BL85">
        <f ca="1">IF(AND(ISNUMBER($BL$224),$B$145=1),$BL$224,HLOOKUP(INDIRECT(ADDRESS(2,COLUMN())),OFFSET($BN$2,0,0,ROW()-1,60),ROW()-1,FALSE))</f>
        <v>47132</v>
      </c>
      <c r="BM85" t="str">
        <f ca="1">IF(AND(ISNUMBER($BM$224),$B$145=1),$BM$224,HLOOKUP(INDIRECT(ADDRESS(2,COLUMN())),OFFSET($BN$2,0,0,ROW()-1,60),ROW()-1,FALSE))</f>
        <v/>
      </c>
      <c r="BN85">
        <f>163832</f>
        <v>163832</v>
      </c>
      <c r="BO85">
        <f>163144</f>
        <v>163144</v>
      </c>
      <c r="BP85">
        <f>163448</f>
        <v>163448</v>
      </c>
      <c r="BQ85">
        <f>148459</f>
        <v>148459</v>
      </c>
      <c r="BR85">
        <f>135464</f>
        <v>135464</v>
      </c>
      <c r="BS85">
        <f>137594</f>
        <v>137594</v>
      </c>
      <c r="BT85">
        <f>146271</f>
        <v>146271</v>
      </c>
      <c r="BU85">
        <f>131457</f>
        <v>131457</v>
      </c>
      <c r="BV85">
        <f>136757</f>
        <v>136757</v>
      </c>
      <c r="BW85">
        <f>137656</f>
        <v>137656</v>
      </c>
      <c r="BX85">
        <f>140616</f>
        <v>140616</v>
      </c>
      <c r="BY85">
        <f>151101</f>
        <v>151101</v>
      </c>
      <c r="BZ85">
        <f>139162</f>
        <v>139162</v>
      </c>
      <c r="CA85">
        <f>147212</f>
        <v>147212</v>
      </c>
      <c r="CB85">
        <f>132611</f>
        <v>132611</v>
      </c>
      <c r="CC85">
        <f>119381</f>
        <v>119381</v>
      </c>
      <c r="CD85">
        <f>123607</f>
        <v>123607</v>
      </c>
      <c r="CE85">
        <f>111327</f>
        <v>111327</v>
      </c>
      <c r="CF85">
        <f>109230</f>
        <v>109230</v>
      </c>
      <c r="CG85">
        <f>118377</f>
        <v>118377</v>
      </c>
      <c r="CH85">
        <f>121507</f>
        <v>121507</v>
      </c>
      <c r="CI85">
        <f>118562</f>
        <v>118562</v>
      </c>
      <c r="CJ85">
        <f>106509</f>
        <v>106509</v>
      </c>
      <c r="CK85">
        <f>101502</f>
        <v>101502</v>
      </c>
      <c r="CL85">
        <f>100315</f>
        <v>100315</v>
      </c>
      <c r="CM85">
        <f>103706</f>
        <v>103706</v>
      </c>
      <c r="CN85">
        <f>100001</f>
        <v>100001</v>
      </c>
      <c r="CO85">
        <f>97420</f>
        <v>97420</v>
      </c>
      <c r="CP85">
        <f>104040</f>
        <v>104040</v>
      </c>
      <c r="CQ85">
        <f>100575</f>
        <v>100575</v>
      </c>
      <c r="CR85">
        <f>95768</f>
        <v>95768</v>
      </c>
      <c r="CS85">
        <f>91636</f>
        <v>91636</v>
      </c>
      <c r="CT85">
        <f>86619</f>
        <v>86619</v>
      </c>
      <c r="CU85">
        <f>85946</f>
        <v>85946</v>
      </c>
      <c r="CV85">
        <f>80093</f>
        <v>80093</v>
      </c>
      <c r="CW85">
        <f>73158</f>
        <v>73158</v>
      </c>
      <c r="CX85">
        <f>77202</f>
        <v>77202</v>
      </c>
      <c r="CY85">
        <f>73894</f>
        <v>73894</v>
      </c>
      <c r="CZ85">
        <f>80236</f>
        <v>80236</v>
      </c>
      <c r="DA85">
        <f>79278</f>
        <v>79278</v>
      </c>
      <c r="DB85">
        <f>78255</f>
        <v>78255</v>
      </c>
      <c r="DC85">
        <f>67755</f>
        <v>67755</v>
      </c>
      <c r="DD85">
        <f>71674</f>
        <v>71674</v>
      </c>
      <c r="DE85">
        <f>63753</f>
        <v>63753</v>
      </c>
      <c r="DF85">
        <f>62813</f>
        <v>62813</v>
      </c>
      <c r="DG85">
        <f>60203</f>
        <v>60203</v>
      </c>
      <c r="DH85">
        <f>58619</f>
        <v>58619</v>
      </c>
      <c r="DI85">
        <f>62274</f>
        <v>62274</v>
      </c>
      <c r="DJ85">
        <f>57482</f>
        <v>57482</v>
      </c>
      <c r="DK85">
        <f>60592</f>
        <v>60592</v>
      </c>
      <c r="DL85">
        <f>64419</f>
        <v>64419</v>
      </c>
      <c r="DM85">
        <f>75696</f>
        <v>75696</v>
      </c>
      <c r="DN85">
        <f>77814</f>
        <v>77814</v>
      </c>
      <c r="DO85">
        <f>57786</f>
        <v>57786</v>
      </c>
      <c r="DP85">
        <f>54770</f>
        <v>54770</v>
      </c>
      <c r="DQ85">
        <f>57890</f>
        <v>57890</v>
      </c>
      <c r="DR85">
        <f>51414</f>
        <v>51414</v>
      </c>
      <c r="DS85">
        <f>49271</f>
        <v>49271</v>
      </c>
      <c r="DT85">
        <f>47132</f>
        <v>47132</v>
      </c>
      <c r="DU85" t="str">
        <f>""</f>
        <v/>
      </c>
    </row>
    <row r="86" spans="1:125" x14ac:dyDescent="0.25">
      <c r="A86" t="str">
        <f>"            Western Alliance Bancorp"</f>
        <v xml:space="preserve">            Western Alliance Bancorp</v>
      </c>
      <c r="B86" t="str">
        <f>"WAL US Equity"</f>
        <v>WAL US Equity</v>
      </c>
      <c r="C86" t="str">
        <f t="shared" si="9"/>
        <v>FC070</v>
      </c>
      <c r="D86" t="str">
        <f t="shared" si="10"/>
        <v>FDIC_TRADING_ACCT_ASSETS</v>
      </c>
      <c r="E86" t="str">
        <f t="shared" si="11"/>
        <v>Dynamic</v>
      </c>
      <c r="F86">
        <f ca="1">IF(AND(ISNUMBER($F$225),$B$145=1),$F$225,HLOOKUP(INDIRECT(ADDRESS(2,COLUMN())),OFFSET($BN$2,0,0,ROW()-1,60),ROW()-1,FALSE))</f>
        <v>0</v>
      </c>
      <c r="G86">
        <f ca="1">IF(AND(ISNUMBER($G$225),$B$145=1),$G$225,HLOOKUP(INDIRECT(ADDRESS(2,COLUMN())),OFFSET($BN$2,0,0,ROW()-1,60),ROW()-1,FALSE))</f>
        <v>0</v>
      </c>
      <c r="H86">
        <f ca="1">IF(AND(ISNUMBER($H$225),$B$145=1),$H$225,HLOOKUP(INDIRECT(ADDRESS(2,COLUMN())),OFFSET($BN$2,0,0,ROW()-1,60),ROW()-1,FALSE))</f>
        <v>0</v>
      </c>
      <c r="I86">
        <f ca="1">IF(AND(ISNUMBER($I$225),$B$145=1),$I$225,HLOOKUP(INDIRECT(ADDRESS(2,COLUMN())),OFFSET($BN$2,0,0,ROW()-1,60),ROW()-1,FALSE))</f>
        <v>0</v>
      </c>
      <c r="J86">
        <f ca="1">IF(AND(ISNUMBER($J$225),$B$145=1),$J$225,HLOOKUP(INDIRECT(ADDRESS(2,COLUMN())),OFFSET($BN$2,0,0,ROW()-1,60),ROW()-1,FALSE))</f>
        <v>0</v>
      </c>
      <c r="K86">
        <f ca="1">IF(AND(ISNUMBER($K$225),$B$145=1),$K$225,HLOOKUP(INDIRECT(ADDRESS(2,COLUMN())),OFFSET($BN$2,0,0,ROW()-1,60),ROW()-1,FALSE))</f>
        <v>0</v>
      </c>
      <c r="L86">
        <f ca="1">IF(AND(ISNUMBER($L$225),$B$145=1),$L$225,HLOOKUP(INDIRECT(ADDRESS(2,COLUMN())),OFFSET($BN$2,0,0,ROW()-1,60),ROW()-1,FALSE))</f>
        <v>0</v>
      </c>
      <c r="M86">
        <f ca="1">IF(AND(ISNUMBER($M$225),$B$145=1),$M$225,HLOOKUP(INDIRECT(ADDRESS(2,COLUMN())),OFFSET($BN$2,0,0,ROW()-1,60),ROW()-1,FALSE))</f>
        <v>0</v>
      </c>
      <c r="N86">
        <f ca="1">IF(AND(ISNUMBER($N$225),$B$145=1),$N$225,HLOOKUP(INDIRECT(ADDRESS(2,COLUMN())),OFFSET($BN$2,0,0,ROW()-1,60),ROW()-1,FALSE))</f>
        <v>0</v>
      </c>
      <c r="O86">
        <f ca="1">IF(AND(ISNUMBER($O$225),$B$145=1),$O$225,HLOOKUP(INDIRECT(ADDRESS(2,COLUMN())),OFFSET($BN$2,0,0,ROW()-1,60),ROW()-1,FALSE))</f>
        <v>0</v>
      </c>
      <c r="P86">
        <f ca="1">IF(AND(ISNUMBER($P$225),$B$145=1),$P$225,HLOOKUP(INDIRECT(ADDRESS(2,COLUMN())),OFFSET($BN$2,0,0,ROW()-1,60),ROW()-1,FALSE))</f>
        <v>0</v>
      </c>
      <c r="Q86">
        <f ca="1">IF(AND(ISNUMBER($Q$225),$B$145=1),$Q$225,HLOOKUP(INDIRECT(ADDRESS(2,COLUMN())),OFFSET($BN$2,0,0,ROW()-1,60),ROW()-1,FALSE))</f>
        <v>0</v>
      </c>
      <c r="R86">
        <f ca="1">IF(AND(ISNUMBER($R$225),$B$145=1),$R$225,HLOOKUP(INDIRECT(ADDRESS(2,COLUMN())),OFFSET($BN$2,0,0,ROW()-1,60),ROW()-1,FALSE))</f>
        <v>0</v>
      </c>
      <c r="S86">
        <f ca="1">IF(AND(ISNUMBER($S$225),$B$145=1),$S$225,HLOOKUP(INDIRECT(ADDRESS(2,COLUMN())),OFFSET($BN$2,0,0,ROW()-1,60),ROW()-1,FALSE))</f>
        <v>0</v>
      </c>
      <c r="T86">
        <f ca="1">IF(AND(ISNUMBER($T$225),$B$145=1),$T$225,HLOOKUP(INDIRECT(ADDRESS(2,COLUMN())),OFFSET($BN$2,0,0,ROW()-1,60),ROW()-1,FALSE))</f>
        <v>0</v>
      </c>
      <c r="U86">
        <f ca="1">IF(AND(ISNUMBER($U$225),$B$145=1),$U$225,HLOOKUP(INDIRECT(ADDRESS(2,COLUMN())),OFFSET($BN$2,0,0,ROW()-1,60),ROW()-1,FALSE))</f>
        <v>0</v>
      </c>
      <c r="V86">
        <f ca="1">IF(AND(ISNUMBER($V$225),$B$145=1),$V$225,HLOOKUP(INDIRECT(ADDRESS(2,COLUMN())),OFFSET($BN$2,0,0,ROW()-1,60),ROW()-1,FALSE))</f>
        <v>0</v>
      </c>
      <c r="W86">
        <f ca="1">IF(AND(ISNUMBER($W$225),$B$145=1),$W$225,HLOOKUP(INDIRECT(ADDRESS(2,COLUMN())),OFFSET($BN$2,0,0,ROW()-1,60),ROW()-1,FALSE))</f>
        <v>0</v>
      </c>
      <c r="X86">
        <f ca="1">IF(AND(ISNUMBER($X$225),$B$145=1),$X$225,HLOOKUP(INDIRECT(ADDRESS(2,COLUMN())),OFFSET($BN$2,0,0,ROW()-1,60),ROW()-1,FALSE))</f>
        <v>0</v>
      </c>
      <c r="Y86">
        <f ca="1">IF(AND(ISNUMBER($Y$225),$B$145=1),$Y$225,HLOOKUP(INDIRECT(ADDRESS(2,COLUMN())),OFFSET($BN$2,0,0,ROW()-1,60),ROW()-1,FALSE))</f>
        <v>0</v>
      </c>
      <c r="Z86">
        <f ca="1">IF(AND(ISNUMBER($Z$225),$B$145=1),$Z$225,HLOOKUP(INDIRECT(ADDRESS(2,COLUMN())),OFFSET($BN$2,0,0,ROW()-1,60),ROW()-1,FALSE))</f>
        <v>0</v>
      </c>
      <c r="AA86">
        <f ca="1">IF(AND(ISNUMBER($AA$225),$B$145=1),$AA$225,HLOOKUP(INDIRECT(ADDRESS(2,COLUMN())),OFFSET($BN$2,0,0,ROW()-1,60),ROW()-1,FALSE))</f>
        <v>0</v>
      </c>
      <c r="AB86">
        <f ca="1">IF(AND(ISNUMBER($AB$225),$B$145=1),$AB$225,HLOOKUP(INDIRECT(ADDRESS(2,COLUMN())),OFFSET($BN$2,0,0,ROW()-1,60),ROW()-1,FALSE))</f>
        <v>0</v>
      </c>
      <c r="AC86">
        <f ca="1">IF(AND(ISNUMBER($AC$225),$B$145=1),$AC$225,HLOOKUP(INDIRECT(ADDRESS(2,COLUMN())),OFFSET($BN$2,0,0,ROW()-1,60),ROW()-1,FALSE))</f>
        <v>0</v>
      </c>
      <c r="AD86">
        <f ca="1">IF(AND(ISNUMBER($AD$225),$B$145=1),$AD$225,HLOOKUP(INDIRECT(ADDRESS(2,COLUMN())),OFFSET($BN$2,0,0,ROW()-1,60),ROW()-1,FALSE))</f>
        <v>0</v>
      </c>
      <c r="AE86">
        <f ca="1">IF(AND(ISNUMBER($AE$225),$B$145=1),$AE$225,HLOOKUP(INDIRECT(ADDRESS(2,COLUMN())),OFFSET($BN$2,0,0,ROW()-1,60),ROW()-1,FALSE))</f>
        <v>0</v>
      </c>
      <c r="AF86">
        <f ca="1">IF(AND(ISNUMBER($AF$225),$B$145=1),$AF$225,HLOOKUP(INDIRECT(ADDRESS(2,COLUMN())),OFFSET($BN$2,0,0,ROW()-1,60),ROW()-1,FALSE))</f>
        <v>0</v>
      </c>
      <c r="AG86">
        <f ca="1">IF(AND(ISNUMBER($AG$225),$B$145=1),$AG$225,HLOOKUP(INDIRECT(ADDRESS(2,COLUMN())),OFFSET($BN$2,0,0,ROW()-1,60),ROW()-1,FALSE))</f>
        <v>0</v>
      </c>
      <c r="AH86">
        <f ca="1">IF(AND(ISNUMBER($AH$225),$B$145=1),$AH$225,HLOOKUP(INDIRECT(ADDRESS(2,COLUMN())),OFFSET($BN$2,0,0,ROW()-1,60),ROW()-1,FALSE))</f>
        <v>0</v>
      </c>
      <c r="AI86">
        <f ca="1">IF(AND(ISNUMBER($AI$225),$B$145=1),$AI$225,HLOOKUP(INDIRECT(ADDRESS(2,COLUMN())),OFFSET($BN$2,0,0,ROW()-1,60),ROW()-1,FALSE))</f>
        <v>0</v>
      </c>
      <c r="AJ86">
        <f ca="1">IF(AND(ISNUMBER($AJ$225),$B$145=1),$AJ$225,HLOOKUP(INDIRECT(ADDRESS(2,COLUMN())),OFFSET($BN$2,0,0,ROW()-1,60),ROW()-1,FALSE))</f>
        <v>0</v>
      </c>
      <c r="AK86">
        <f ca="1">IF(AND(ISNUMBER($AK$225),$B$145=1),$AK$225,HLOOKUP(INDIRECT(ADDRESS(2,COLUMN())),OFFSET($BN$2,0,0,ROW()-1,60),ROW()-1,FALSE))</f>
        <v>1.0189999999999999</v>
      </c>
      <c r="AL86">
        <f ca="1">IF(AND(ISNUMBER($AL$225),$B$145=1),$AL$225,HLOOKUP(INDIRECT(ADDRESS(2,COLUMN())),OFFSET($BN$2,0,0,ROW()-1,60),ROW()-1,FALSE))</f>
        <v>1.0529999999999999</v>
      </c>
      <c r="AM86">
        <f ca="1">IF(AND(ISNUMBER($AM$225),$B$145=1),$AM$225,HLOOKUP(INDIRECT(ADDRESS(2,COLUMN())),OFFSET($BN$2,0,0,ROW()-1,60),ROW()-1,FALSE))</f>
        <v>1.2789999999999999</v>
      </c>
      <c r="AN86">
        <f ca="1">IF(AND(ISNUMBER($AN$225),$B$145=1),$AN$225,HLOOKUP(INDIRECT(ADDRESS(2,COLUMN())),OFFSET($BN$2,0,0,ROW()-1,60),ROW()-1,FALSE))</f>
        <v>1.3260000000000001</v>
      </c>
      <c r="AO86">
        <f ca="1">IF(AND(ISNUMBER($AO$225),$B$145=1),$AO$225,HLOOKUP(INDIRECT(ADDRESS(2,COLUMN())),OFFSET($BN$2,0,0,ROW()-1,60),ROW()-1,FALSE))</f>
        <v>1.381</v>
      </c>
      <c r="AP86">
        <f ca="1">IF(AND(ISNUMBER($AP$225),$B$145=1),$AP$225,HLOOKUP(INDIRECT(ADDRESS(2,COLUMN())),OFFSET($BN$2,0,0,ROW()-1,60),ROW()-1,FALSE))</f>
        <v>1.4810000000000001</v>
      </c>
      <c r="AQ86">
        <f ca="1">IF(AND(ISNUMBER($AQ$225),$B$145=1),$AQ$225,HLOOKUP(INDIRECT(ADDRESS(2,COLUMN())),OFFSET($BN$2,0,0,ROW()-1,60),ROW()-1,FALSE))</f>
        <v>1.5369999999999999</v>
      </c>
      <c r="AR86">
        <f ca="1">IF(AND(ISNUMBER($AR$225),$B$145=1),$AR$225,HLOOKUP(INDIRECT(ADDRESS(2,COLUMN())),OFFSET($BN$2,0,0,ROW()-1,60),ROW()-1,FALSE))</f>
        <v>1.7010000000000001</v>
      </c>
      <c r="AS86">
        <f ca="1">IF(AND(ISNUMBER($AS$225),$B$145=1),$AS$225,HLOOKUP(INDIRECT(ADDRESS(2,COLUMN())),OFFSET($BN$2,0,0,ROW()-1,60),ROW()-1,FALSE))</f>
        <v>1.788</v>
      </c>
      <c r="AT86">
        <f ca="1">IF(AND(ISNUMBER($AT$225),$B$145=1),$AT$225,HLOOKUP(INDIRECT(ADDRESS(2,COLUMN())),OFFSET($BN$2,0,0,ROW()-1,60),ROW()-1,FALSE))</f>
        <v>1.8580000000000001</v>
      </c>
      <c r="AU86">
        <f ca="1">IF(AND(ISNUMBER($AU$225),$B$145=1),$AU$225,HLOOKUP(INDIRECT(ADDRESS(2,COLUMN())),OFFSET($BN$2,0,0,ROW()-1,60),ROW()-1,FALSE))</f>
        <v>1.9350000000000001</v>
      </c>
      <c r="AV86">
        <f ca="1">IF(AND(ISNUMBER($AV$225),$B$145=1),$AV$225,HLOOKUP(INDIRECT(ADDRESS(2,COLUMN())),OFFSET($BN$2,0,0,ROW()-1,60),ROW()-1,FALSE))</f>
        <v>2.7930000000000001</v>
      </c>
      <c r="AW86">
        <f ca="1">IF(AND(ISNUMBER($AW$225),$B$145=1),$AW$225,HLOOKUP(INDIRECT(ADDRESS(2,COLUMN())),OFFSET($BN$2,0,0,ROW()-1,60),ROW()-1,FALSE))</f>
        <v>2.9430000000000001</v>
      </c>
      <c r="AX86">
        <f ca="1">IF(AND(ISNUMBER($AX$225),$B$145=1),$AX$225,HLOOKUP(INDIRECT(ADDRESS(2,COLUMN())),OFFSET($BN$2,0,0,ROW()-1,60),ROW()-1,FALSE))</f>
        <v>5.4219999999999997</v>
      </c>
      <c r="AY86">
        <f ca="1">IF(AND(ISNUMBER($AY$225),$B$145=1),$AY$225,HLOOKUP(INDIRECT(ADDRESS(2,COLUMN())),OFFSET($BN$2,0,0,ROW()-1,60),ROW()-1,FALSE))</f>
        <v>3.6320000000000001</v>
      </c>
      <c r="AZ86">
        <f ca="1">IF(AND(ISNUMBER($AZ$225),$B$145=1),$AZ$225,HLOOKUP(INDIRECT(ADDRESS(2,COLUMN())),OFFSET($BN$2,0,0,ROW()-1,60),ROW()-1,FALSE))</f>
        <v>3.9870000000000001</v>
      </c>
      <c r="BA86">
        <f ca="1">IF(AND(ISNUMBER($BA$225),$B$145=1),$BA$225,HLOOKUP(INDIRECT(ADDRESS(2,COLUMN())),OFFSET($BN$2,0,0,ROW()-1,60),ROW()-1,FALSE))</f>
        <v>4.827</v>
      </c>
      <c r="BB86">
        <f ca="1">IF(AND(ISNUMBER($BB$225),$B$145=1),$BB$225,HLOOKUP(INDIRECT(ADDRESS(2,COLUMN())),OFFSET($BN$2,0,0,ROW()-1,60),ROW()-1,FALSE))</f>
        <v>5.1070000000000002</v>
      </c>
      <c r="BC86">
        <f ca="1">IF(AND(ISNUMBER($BC$225),$B$145=1),$BC$225,HLOOKUP(INDIRECT(ADDRESS(2,COLUMN())),OFFSET($BN$2,0,0,ROW()-1,60),ROW()-1,FALSE))</f>
        <v>5.5869999999999997</v>
      </c>
      <c r="BD86">
        <f ca="1">IF(AND(ISNUMBER($BD$225),$B$145=1),$BD$225,HLOOKUP(INDIRECT(ADDRESS(2,COLUMN())),OFFSET($BN$2,0,0,ROW()-1,60),ROW()-1,FALSE))</f>
        <v>6.1630000000000003</v>
      </c>
      <c r="BE86">
        <f ca="1">IF(AND(ISNUMBER($BE$225),$B$145=1),$BE$225,HLOOKUP(INDIRECT(ADDRESS(2,COLUMN())),OFFSET($BN$2,0,0,ROW()-1,60),ROW()-1,FALSE))</f>
        <v>6.3239999999999998</v>
      </c>
      <c r="BF86">
        <f ca="1">IF(AND(ISNUMBER($BF$225),$B$145=1),$BF$225,HLOOKUP(INDIRECT(ADDRESS(2,COLUMN())),OFFSET($BN$2,0,0,ROW()-1,60),ROW()-1,FALSE))</f>
        <v>7.4749999999999996</v>
      </c>
      <c r="BG86">
        <f ca="1">IF(AND(ISNUMBER($BG$225),$B$145=1),$BG$225,HLOOKUP(INDIRECT(ADDRESS(2,COLUMN())),OFFSET($BN$2,0,0,ROW()-1,60),ROW()-1,FALSE))</f>
        <v>8.0020000000000007</v>
      </c>
      <c r="BH86">
        <f ca="1">IF(AND(ISNUMBER($BH$225),$B$145=1),$BH$225,HLOOKUP(INDIRECT(ADDRESS(2,COLUMN())),OFFSET($BN$2,0,0,ROW()-1,60),ROW()-1,FALSE))</f>
        <v>7.718</v>
      </c>
      <c r="BI86">
        <f ca="1">IF(AND(ISNUMBER($BI$225),$B$145=1),$BI$225,HLOOKUP(INDIRECT(ADDRESS(2,COLUMN())),OFFSET($BN$2,0,0,ROW()-1,60),ROW()-1,FALSE))</f>
        <v>10.856999999999999</v>
      </c>
      <c r="BJ86">
        <f ca="1">IF(AND(ISNUMBER($BJ$225),$B$145=1),$BJ$225,HLOOKUP(INDIRECT(ADDRESS(2,COLUMN())),OFFSET($BN$2,0,0,ROW()-1,60),ROW()-1,FALSE))</f>
        <v>15.067</v>
      </c>
      <c r="BK86">
        <f ca="1">IF(AND(ISNUMBER($BK$225),$B$145=1),$BK$225,HLOOKUP(INDIRECT(ADDRESS(2,COLUMN())),OFFSET($BN$2,0,0,ROW()-1,60),ROW()-1,FALSE))</f>
        <v>33.454999999999998</v>
      </c>
      <c r="BL86">
        <f ca="1">IF(AND(ISNUMBER($BL$225),$B$145=1),$BL$225,HLOOKUP(INDIRECT(ADDRESS(2,COLUMN())),OFFSET($BN$2,0,0,ROW()-1,60),ROW()-1,FALSE))</f>
        <v>41.534999999999997</v>
      </c>
      <c r="BM86" t="str">
        <f ca="1">IF(AND(ISNUMBER($BM$225),$B$145=1),$BM$225,HLOOKUP(INDIRECT(ADDRESS(2,COLUMN())),OFFSET($BN$2,0,0,ROW()-1,60),ROW()-1,FALSE))</f>
        <v/>
      </c>
      <c r="BN86">
        <f>0</f>
        <v>0</v>
      </c>
      <c r="BO86">
        <f>0</f>
        <v>0</v>
      </c>
      <c r="BP86">
        <f>0</f>
        <v>0</v>
      </c>
      <c r="BQ86">
        <f>0</f>
        <v>0</v>
      </c>
      <c r="BR86">
        <f>0</f>
        <v>0</v>
      </c>
      <c r="BS86">
        <f>0</f>
        <v>0</v>
      </c>
      <c r="BT86">
        <f>0</f>
        <v>0</v>
      </c>
      <c r="BU86">
        <f>0</f>
        <v>0</v>
      </c>
      <c r="BV86">
        <f>0</f>
        <v>0</v>
      </c>
      <c r="BW86">
        <f>0</f>
        <v>0</v>
      </c>
      <c r="BX86">
        <f>0</f>
        <v>0</v>
      </c>
      <c r="BY86">
        <f>0</f>
        <v>0</v>
      </c>
      <c r="BZ86">
        <f>0</f>
        <v>0</v>
      </c>
      <c r="CA86">
        <f>0</f>
        <v>0</v>
      </c>
      <c r="CB86">
        <f>0</f>
        <v>0</v>
      </c>
      <c r="CC86">
        <f>0</f>
        <v>0</v>
      </c>
      <c r="CD86">
        <f>0</f>
        <v>0</v>
      </c>
      <c r="CE86">
        <f>0</f>
        <v>0</v>
      </c>
      <c r="CF86">
        <f>0</f>
        <v>0</v>
      </c>
      <c r="CG86">
        <f>0</f>
        <v>0</v>
      </c>
      <c r="CH86">
        <f>0</f>
        <v>0</v>
      </c>
      <c r="CI86">
        <f>0</f>
        <v>0</v>
      </c>
      <c r="CJ86">
        <f>0</f>
        <v>0</v>
      </c>
      <c r="CK86">
        <f>0</f>
        <v>0</v>
      </c>
      <c r="CL86">
        <f>0</f>
        <v>0</v>
      </c>
      <c r="CM86">
        <f>0</f>
        <v>0</v>
      </c>
      <c r="CN86">
        <f>0</f>
        <v>0</v>
      </c>
      <c r="CO86">
        <f>0</f>
        <v>0</v>
      </c>
      <c r="CP86">
        <f>0</f>
        <v>0</v>
      </c>
      <c r="CQ86">
        <f>0</f>
        <v>0</v>
      </c>
      <c r="CR86">
        <f>0</f>
        <v>0</v>
      </c>
      <c r="CS86">
        <f>1.019</f>
        <v>1.0189999999999999</v>
      </c>
      <c r="CT86">
        <f>1.053</f>
        <v>1.0529999999999999</v>
      </c>
      <c r="CU86">
        <f>1.279</f>
        <v>1.2789999999999999</v>
      </c>
      <c r="CV86">
        <f>1.326</f>
        <v>1.3260000000000001</v>
      </c>
      <c r="CW86">
        <f>1.381</f>
        <v>1.381</v>
      </c>
      <c r="CX86">
        <f>1.481</f>
        <v>1.4810000000000001</v>
      </c>
      <c r="CY86">
        <f>1.537</f>
        <v>1.5369999999999999</v>
      </c>
      <c r="CZ86">
        <f>1.701</f>
        <v>1.7010000000000001</v>
      </c>
      <c r="DA86">
        <f>1.788</f>
        <v>1.788</v>
      </c>
      <c r="DB86">
        <f>1.858</f>
        <v>1.8580000000000001</v>
      </c>
      <c r="DC86">
        <f>1.935</f>
        <v>1.9350000000000001</v>
      </c>
      <c r="DD86">
        <f>2.793</f>
        <v>2.7930000000000001</v>
      </c>
      <c r="DE86">
        <f>2.943</f>
        <v>2.9430000000000001</v>
      </c>
      <c r="DF86">
        <f>5.422</f>
        <v>5.4219999999999997</v>
      </c>
      <c r="DG86">
        <f>3.632</f>
        <v>3.6320000000000001</v>
      </c>
      <c r="DH86">
        <f>3.987</f>
        <v>3.9870000000000001</v>
      </c>
      <c r="DI86">
        <f>4.827</f>
        <v>4.827</v>
      </c>
      <c r="DJ86">
        <f>5.107</f>
        <v>5.1070000000000002</v>
      </c>
      <c r="DK86">
        <f>5.587</f>
        <v>5.5869999999999997</v>
      </c>
      <c r="DL86">
        <f>6.163</f>
        <v>6.1630000000000003</v>
      </c>
      <c r="DM86">
        <f>6.324</f>
        <v>6.3239999999999998</v>
      </c>
      <c r="DN86">
        <f>7.475</f>
        <v>7.4749999999999996</v>
      </c>
      <c r="DO86">
        <f>8.002</f>
        <v>8.0020000000000007</v>
      </c>
      <c r="DP86">
        <f>7.718</f>
        <v>7.718</v>
      </c>
      <c r="DQ86">
        <f>10.857</f>
        <v>10.856999999999999</v>
      </c>
      <c r="DR86">
        <f>15.067</f>
        <v>15.067</v>
      </c>
      <c r="DS86">
        <f>33.455</f>
        <v>33.454999999999998</v>
      </c>
      <c r="DT86">
        <f>41.535</f>
        <v>41.534999999999997</v>
      </c>
      <c r="DU86" t="str">
        <f>""</f>
        <v/>
      </c>
    </row>
    <row r="87" spans="1:125" x14ac:dyDescent="0.25">
      <c r="A87" t="str">
        <f>"            Zions Bancorp NA"</f>
        <v xml:space="preserve">            Zions Bancorp NA</v>
      </c>
      <c r="B87" t="str">
        <f>"ZION US Equity"</f>
        <v>ZION US Equity</v>
      </c>
      <c r="C87" t="str">
        <f t="shared" si="9"/>
        <v>FC070</v>
      </c>
      <c r="D87" t="str">
        <f t="shared" si="10"/>
        <v>FDIC_TRADING_ACCT_ASSETS</v>
      </c>
      <c r="E87" t="str">
        <f t="shared" si="11"/>
        <v>Dynamic</v>
      </c>
      <c r="F87" t="str">
        <f ca="1">IF(AND(ISNUMBER($F$226),$B$145=1),$F$226,HLOOKUP(INDIRECT(ADDRESS(2,COLUMN())),OFFSET($BN$2,0,0,ROW()-1,60),ROW()-1,FALSE))</f>
        <v/>
      </c>
      <c r="G87" t="str">
        <f ca="1">IF(AND(ISNUMBER($G$226),$B$145=1),$G$226,HLOOKUP(INDIRECT(ADDRESS(2,COLUMN())),OFFSET($BN$2,0,0,ROW()-1,60),ROW()-1,FALSE))</f>
        <v/>
      </c>
      <c r="H87">
        <f ca="1">IF(AND(ISNUMBER($H$226),$B$145=1),$H$226,HLOOKUP(INDIRECT(ADDRESS(2,COLUMN())),OFFSET($BN$2,0,0,ROW()-1,60),ROW()-1,FALSE))</f>
        <v>23.902999999999999</v>
      </c>
      <c r="I87">
        <f ca="1">IF(AND(ISNUMBER($I$226),$B$145=1),$I$226,HLOOKUP(INDIRECT(ADDRESS(2,COLUMN())),OFFSET($BN$2,0,0,ROW()-1,60),ROW()-1,FALSE))</f>
        <v>59.475999999999999</v>
      </c>
      <c r="J87">
        <f ca="1">IF(AND(ISNUMBER($J$226),$B$145=1),$J$226,HLOOKUP(INDIRECT(ADDRESS(2,COLUMN())),OFFSET($BN$2,0,0,ROW()-1,60),ROW()-1,FALSE))</f>
        <v>48.262</v>
      </c>
      <c r="K87">
        <f ca="1">IF(AND(ISNUMBER($K$226),$B$145=1),$K$226,HLOOKUP(INDIRECT(ADDRESS(2,COLUMN())),OFFSET($BN$2,0,0,ROW()-1,60),ROW()-1,FALSE))</f>
        <v>31.34</v>
      </c>
      <c r="L87">
        <f ca="1">IF(AND(ISNUMBER($L$226),$B$145=1),$L$226,HLOOKUP(INDIRECT(ADDRESS(2,COLUMN())),OFFSET($BN$2,0,0,ROW()-1,60),ROW()-1,FALSE))</f>
        <v>31.782</v>
      </c>
      <c r="M87">
        <f ca="1">IF(AND(ISNUMBER($M$226),$B$145=1),$M$226,HLOOKUP(INDIRECT(ADDRESS(2,COLUMN())),OFFSET($BN$2,0,0,ROW()-1,60),ROW()-1,FALSE))</f>
        <v>12.488</v>
      </c>
      <c r="N87">
        <f ca="1">IF(AND(ISNUMBER($N$226),$B$145=1),$N$226,HLOOKUP(INDIRECT(ADDRESS(2,COLUMN())),OFFSET($BN$2,0,0,ROW()-1,60),ROW()-1,FALSE))</f>
        <v>70.521000000000001</v>
      </c>
      <c r="O87">
        <f ca="1">IF(AND(ISNUMBER($O$226),$B$145=1),$O$226,HLOOKUP(INDIRECT(ADDRESS(2,COLUMN())),OFFSET($BN$2,0,0,ROW()-1,60),ROW()-1,FALSE))</f>
        <v>736.63499999999999</v>
      </c>
      <c r="P87">
        <f ca="1">IF(AND(ISNUMBER($P$226),$B$145=1),$P$226,HLOOKUP(INDIRECT(ADDRESS(2,COLUMN())),OFFSET($BN$2,0,0,ROW()-1,60),ROW()-1,FALSE))</f>
        <v>397.50400000000002</v>
      </c>
      <c r="Q87">
        <f ca="1">IF(AND(ISNUMBER($Q$226),$B$145=1),$Q$226,HLOOKUP(INDIRECT(ADDRESS(2,COLUMN())),OFFSET($BN$2,0,0,ROW()-1,60),ROW()-1,FALSE))</f>
        <v>465.65100000000001</v>
      </c>
      <c r="R87">
        <f ca="1">IF(AND(ISNUMBER($R$226),$B$145=1),$R$226,HLOOKUP(INDIRECT(ADDRESS(2,COLUMN())),OFFSET($BN$2,0,0,ROW()-1,60),ROW()-1,FALSE))</f>
        <v>575.38800000000003</v>
      </c>
      <c r="S87">
        <f ca="1">IF(AND(ISNUMBER($S$226),$B$145=1),$S$226,HLOOKUP(INDIRECT(ADDRESS(2,COLUMN())),OFFSET($BN$2,0,0,ROW()-1,60),ROW()-1,FALSE))</f>
        <v>547.255</v>
      </c>
      <c r="T87">
        <f ca="1">IF(AND(ISNUMBER($T$226),$B$145=1),$T$226,HLOOKUP(INDIRECT(ADDRESS(2,COLUMN())),OFFSET($BN$2,0,0,ROW()-1,60),ROW()-1,FALSE))</f>
        <v>448.48</v>
      </c>
      <c r="U87">
        <f ca="1">IF(AND(ISNUMBER($U$226),$B$145=1),$U$226,HLOOKUP(INDIRECT(ADDRESS(2,COLUMN())),OFFSET($BN$2,0,0,ROW()-1,60),ROW()-1,FALSE))</f>
        <v>426.77600000000001</v>
      </c>
      <c r="V87" t="str">
        <f ca="1">IF(AND(ISNUMBER($V$226),$B$145=1),$V$226,HLOOKUP(INDIRECT(ADDRESS(2,COLUMN())),OFFSET($BN$2,0,0,ROW()-1,60),ROW()-1,FALSE))</f>
        <v/>
      </c>
      <c r="W87" t="str">
        <f ca="1">IF(AND(ISNUMBER($W$226),$B$145=1),$W$226,HLOOKUP(INDIRECT(ADDRESS(2,COLUMN())),OFFSET($BN$2,0,0,ROW()-1,60),ROW()-1,FALSE))</f>
        <v/>
      </c>
      <c r="X87" t="str">
        <f ca="1">IF(AND(ISNUMBER($X$226),$B$145=1),$X$226,HLOOKUP(INDIRECT(ADDRESS(2,COLUMN())),OFFSET($BN$2,0,0,ROW()-1,60),ROW()-1,FALSE))</f>
        <v/>
      </c>
      <c r="Y87" t="str">
        <f ca="1">IF(AND(ISNUMBER($Y$226),$B$145=1),$Y$226,HLOOKUP(INDIRECT(ADDRESS(2,COLUMN())),OFFSET($BN$2,0,0,ROW()-1,60),ROW()-1,FALSE))</f>
        <v/>
      </c>
      <c r="Z87" t="str">
        <f ca="1">IF(AND(ISNUMBER($Z$226),$B$145=1),$Z$226,HLOOKUP(INDIRECT(ADDRESS(2,COLUMN())),OFFSET($BN$2,0,0,ROW()-1,60),ROW()-1,FALSE))</f>
        <v/>
      </c>
      <c r="AA87" t="str">
        <f ca="1">IF(AND(ISNUMBER($AA$226),$B$145=1),$AA$226,HLOOKUP(INDIRECT(ADDRESS(2,COLUMN())),OFFSET($BN$2,0,0,ROW()-1,60),ROW()-1,FALSE))</f>
        <v/>
      </c>
      <c r="AB87" t="str">
        <f ca="1">IF(AND(ISNUMBER($AB$226),$B$145=1),$AB$226,HLOOKUP(INDIRECT(ADDRESS(2,COLUMN())),OFFSET($BN$2,0,0,ROW()-1,60),ROW()-1,FALSE))</f>
        <v/>
      </c>
      <c r="AC87" t="str">
        <f ca="1">IF(AND(ISNUMBER($AC$226),$B$145=1),$AC$226,HLOOKUP(INDIRECT(ADDRESS(2,COLUMN())),OFFSET($BN$2,0,0,ROW()-1,60),ROW()-1,FALSE))</f>
        <v/>
      </c>
      <c r="AD87" t="str">
        <f ca="1">IF(AND(ISNUMBER($AD$226),$B$145=1),$AD$226,HLOOKUP(INDIRECT(ADDRESS(2,COLUMN())),OFFSET($BN$2,0,0,ROW()-1,60),ROW()-1,FALSE))</f>
        <v/>
      </c>
      <c r="AE87" t="str">
        <f ca="1">IF(AND(ISNUMBER($AE$226),$B$145=1),$AE$226,HLOOKUP(INDIRECT(ADDRESS(2,COLUMN())),OFFSET($BN$2,0,0,ROW()-1,60),ROW()-1,FALSE))</f>
        <v/>
      </c>
      <c r="AF87" t="str">
        <f ca="1">IF(AND(ISNUMBER($AF$226),$B$145=1),$AF$226,HLOOKUP(INDIRECT(ADDRESS(2,COLUMN())),OFFSET($BN$2,0,0,ROW()-1,60),ROW()-1,FALSE))</f>
        <v/>
      </c>
      <c r="AG87" t="str">
        <f ca="1">IF(AND(ISNUMBER($AG$226),$B$145=1),$AG$226,HLOOKUP(INDIRECT(ADDRESS(2,COLUMN())),OFFSET($BN$2,0,0,ROW()-1,60),ROW()-1,FALSE))</f>
        <v/>
      </c>
      <c r="AH87" t="str">
        <f ca="1">IF(AND(ISNUMBER($AH$226),$B$145=1),$AH$226,HLOOKUP(INDIRECT(ADDRESS(2,COLUMN())),OFFSET($BN$2,0,0,ROW()-1,60),ROW()-1,FALSE))</f>
        <v/>
      </c>
      <c r="AI87" t="str">
        <f ca="1">IF(AND(ISNUMBER($AI$226),$B$145=1),$AI$226,HLOOKUP(INDIRECT(ADDRESS(2,COLUMN())),OFFSET($BN$2,0,0,ROW()-1,60),ROW()-1,FALSE))</f>
        <v/>
      </c>
      <c r="AJ87" t="str">
        <f ca="1">IF(AND(ISNUMBER($AJ$226),$B$145=1),$AJ$226,HLOOKUP(INDIRECT(ADDRESS(2,COLUMN())),OFFSET($BN$2,0,0,ROW()-1,60),ROW()-1,FALSE))</f>
        <v/>
      </c>
      <c r="AK87" t="str">
        <f ca="1">IF(AND(ISNUMBER($AK$226),$B$145=1),$AK$226,HLOOKUP(INDIRECT(ADDRESS(2,COLUMN())),OFFSET($BN$2,0,0,ROW()-1,60),ROW()-1,FALSE))</f>
        <v/>
      </c>
      <c r="AL87" t="str">
        <f ca="1">IF(AND(ISNUMBER($AL$226),$B$145=1),$AL$226,HLOOKUP(INDIRECT(ADDRESS(2,COLUMN())),OFFSET($BN$2,0,0,ROW()-1,60),ROW()-1,FALSE))</f>
        <v/>
      </c>
      <c r="AM87" t="str">
        <f ca="1">IF(AND(ISNUMBER($AM$226),$B$145=1),$AM$226,HLOOKUP(INDIRECT(ADDRESS(2,COLUMN())),OFFSET($BN$2,0,0,ROW()-1,60),ROW()-1,FALSE))</f>
        <v/>
      </c>
      <c r="AN87" t="str">
        <f ca="1">IF(AND(ISNUMBER($AN$226),$B$145=1),$AN$226,HLOOKUP(INDIRECT(ADDRESS(2,COLUMN())),OFFSET($BN$2,0,0,ROW()-1,60),ROW()-1,FALSE))</f>
        <v/>
      </c>
      <c r="AO87" t="str">
        <f ca="1">IF(AND(ISNUMBER($AO$226),$B$145=1),$AO$226,HLOOKUP(INDIRECT(ADDRESS(2,COLUMN())),OFFSET($BN$2,0,0,ROW()-1,60),ROW()-1,FALSE))</f>
        <v/>
      </c>
      <c r="AP87" t="str">
        <f ca="1">IF(AND(ISNUMBER($AP$226),$B$145=1),$AP$226,HLOOKUP(INDIRECT(ADDRESS(2,COLUMN())),OFFSET($BN$2,0,0,ROW()-1,60),ROW()-1,FALSE))</f>
        <v/>
      </c>
      <c r="AQ87" t="str">
        <f ca="1">IF(AND(ISNUMBER($AQ$226),$B$145=1),$AQ$226,HLOOKUP(INDIRECT(ADDRESS(2,COLUMN())),OFFSET($BN$2,0,0,ROW()-1,60),ROW()-1,FALSE))</f>
        <v/>
      </c>
      <c r="AR87" t="str">
        <f ca="1">IF(AND(ISNUMBER($AR$226),$B$145=1),$AR$226,HLOOKUP(INDIRECT(ADDRESS(2,COLUMN())),OFFSET($BN$2,0,0,ROW()-1,60),ROW()-1,FALSE))</f>
        <v/>
      </c>
      <c r="AS87" t="str">
        <f ca="1">IF(AND(ISNUMBER($AS$226),$B$145=1),$AS$226,HLOOKUP(INDIRECT(ADDRESS(2,COLUMN())),OFFSET($BN$2,0,0,ROW()-1,60),ROW()-1,FALSE))</f>
        <v/>
      </c>
      <c r="AT87" t="str">
        <f ca="1">IF(AND(ISNUMBER($AT$226),$B$145=1),$AT$226,HLOOKUP(INDIRECT(ADDRESS(2,COLUMN())),OFFSET($BN$2,0,0,ROW()-1,60),ROW()-1,FALSE))</f>
        <v/>
      </c>
      <c r="AU87" t="str">
        <f ca="1">IF(AND(ISNUMBER($AU$226),$B$145=1),$AU$226,HLOOKUP(INDIRECT(ADDRESS(2,COLUMN())),OFFSET($BN$2,0,0,ROW()-1,60),ROW()-1,FALSE))</f>
        <v/>
      </c>
      <c r="AV87" t="str">
        <f ca="1">IF(AND(ISNUMBER($AV$226),$B$145=1),$AV$226,HLOOKUP(INDIRECT(ADDRESS(2,COLUMN())),OFFSET($BN$2,0,0,ROW()-1,60),ROW()-1,FALSE))</f>
        <v/>
      </c>
      <c r="AW87" t="str">
        <f ca="1">IF(AND(ISNUMBER($AW$226),$B$145=1),$AW$226,HLOOKUP(INDIRECT(ADDRESS(2,COLUMN())),OFFSET($BN$2,0,0,ROW()-1,60),ROW()-1,FALSE))</f>
        <v/>
      </c>
      <c r="AX87" t="str">
        <f ca="1">IF(AND(ISNUMBER($AX$226),$B$145=1),$AX$226,HLOOKUP(INDIRECT(ADDRESS(2,COLUMN())),OFFSET($BN$2,0,0,ROW()-1,60),ROW()-1,FALSE))</f>
        <v/>
      </c>
      <c r="AY87" t="str">
        <f ca="1">IF(AND(ISNUMBER($AY$226),$B$145=1),$AY$226,HLOOKUP(INDIRECT(ADDRESS(2,COLUMN())),OFFSET($BN$2,0,0,ROW()-1,60),ROW()-1,FALSE))</f>
        <v/>
      </c>
      <c r="AZ87" t="str">
        <f ca="1">IF(AND(ISNUMBER($AZ$226),$B$145=1),$AZ$226,HLOOKUP(INDIRECT(ADDRESS(2,COLUMN())),OFFSET($BN$2,0,0,ROW()-1,60),ROW()-1,FALSE))</f>
        <v/>
      </c>
      <c r="BA87" t="str">
        <f ca="1">IF(AND(ISNUMBER($BA$226),$B$145=1),$BA$226,HLOOKUP(INDIRECT(ADDRESS(2,COLUMN())),OFFSET($BN$2,0,0,ROW()-1,60),ROW()-1,FALSE))</f>
        <v/>
      </c>
      <c r="BB87" t="str">
        <f ca="1">IF(AND(ISNUMBER($BB$226),$B$145=1),$BB$226,HLOOKUP(INDIRECT(ADDRESS(2,COLUMN())),OFFSET($BN$2,0,0,ROW()-1,60),ROW()-1,FALSE))</f>
        <v/>
      </c>
      <c r="BC87" t="str">
        <f ca="1">IF(AND(ISNUMBER($BC$226),$B$145=1),$BC$226,HLOOKUP(INDIRECT(ADDRESS(2,COLUMN())),OFFSET($BN$2,0,0,ROW()-1,60),ROW()-1,FALSE))</f>
        <v/>
      </c>
      <c r="BD87" t="str">
        <f ca="1">IF(AND(ISNUMBER($BD$226),$B$145=1),$BD$226,HLOOKUP(INDIRECT(ADDRESS(2,COLUMN())),OFFSET($BN$2,0,0,ROW()-1,60),ROW()-1,FALSE))</f>
        <v/>
      </c>
      <c r="BE87" t="str">
        <f ca="1">IF(AND(ISNUMBER($BE$226),$B$145=1),$BE$226,HLOOKUP(INDIRECT(ADDRESS(2,COLUMN())),OFFSET($BN$2,0,0,ROW()-1,60),ROW()-1,FALSE))</f>
        <v/>
      </c>
      <c r="BF87" t="str">
        <f ca="1">IF(AND(ISNUMBER($BF$226),$B$145=1),$BF$226,HLOOKUP(INDIRECT(ADDRESS(2,COLUMN())),OFFSET($BN$2,0,0,ROW()-1,60),ROW()-1,FALSE))</f>
        <v/>
      </c>
      <c r="BG87" t="str">
        <f ca="1">IF(AND(ISNUMBER($BG$226),$B$145=1),$BG$226,HLOOKUP(INDIRECT(ADDRESS(2,COLUMN())),OFFSET($BN$2,0,0,ROW()-1,60),ROW()-1,FALSE))</f>
        <v/>
      </c>
      <c r="BH87" t="str">
        <f ca="1">IF(AND(ISNUMBER($BH$226),$B$145=1),$BH$226,HLOOKUP(INDIRECT(ADDRESS(2,COLUMN())),OFFSET($BN$2,0,0,ROW()-1,60),ROW()-1,FALSE))</f>
        <v/>
      </c>
      <c r="BI87" t="str">
        <f ca="1">IF(AND(ISNUMBER($BI$226),$B$145=1),$BI$226,HLOOKUP(INDIRECT(ADDRESS(2,COLUMN())),OFFSET($BN$2,0,0,ROW()-1,60),ROW()-1,FALSE))</f>
        <v/>
      </c>
      <c r="BJ87" t="str">
        <f ca="1">IF(AND(ISNUMBER($BJ$226),$B$145=1),$BJ$226,HLOOKUP(INDIRECT(ADDRESS(2,COLUMN())),OFFSET($BN$2,0,0,ROW()-1,60),ROW()-1,FALSE))</f>
        <v/>
      </c>
      <c r="BK87" t="str">
        <f ca="1">IF(AND(ISNUMBER($BK$226),$B$145=1),$BK$226,HLOOKUP(INDIRECT(ADDRESS(2,COLUMN())),OFFSET($BN$2,0,0,ROW()-1,60),ROW()-1,FALSE))</f>
        <v/>
      </c>
      <c r="BL87" t="str">
        <f ca="1">IF(AND(ISNUMBER($BL$226),$B$145=1),$BL$226,HLOOKUP(INDIRECT(ADDRESS(2,COLUMN())),OFFSET($BN$2,0,0,ROW()-1,60),ROW()-1,FALSE))</f>
        <v/>
      </c>
      <c r="BM87" t="str">
        <f ca="1">IF(AND(ISNUMBER($BM$226),$B$145=1),$BM$226,HLOOKUP(INDIRECT(ADDRESS(2,COLUMN())),OFFSET($BN$2,0,0,ROW()-1,60),ROW()-1,FALSE))</f>
        <v/>
      </c>
      <c r="BN87" t="str">
        <f>""</f>
        <v/>
      </c>
      <c r="BO87" t="str">
        <f>""</f>
        <v/>
      </c>
      <c r="BP87">
        <f>23.903</f>
        <v>23.902999999999999</v>
      </c>
      <c r="BQ87">
        <f>59.476</f>
        <v>59.475999999999999</v>
      </c>
      <c r="BR87">
        <f>48.262</f>
        <v>48.262</v>
      </c>
      <c r="BS87">
        <f>31.34</f>
        <v>31.34</v>
      </c>
      <c r="BT87">
        <f>31.782</f>
        <v>31.782</v>
      </c>
      <c r="BU87">
        <f>12.488</f>
        <v>12.488</v>
      </c>
      <c r="BV87">
        <f>70.521</f>
        <v>70.521000000000001</v>
      </c>
      <c r="BW87">
        <f>736.635</f>
        <v>736.63499999999999</v>
      </c>
      <c r="BX87">
        <f>397.504</f>
        <v>397.50400000000002</v>
      </c>
      <c r="BY87">
        <f>465.651</f>
        <v>465.65100000000001</v>
      </c>
      <c r="BZ87">
        <f>575.388</f>
        <v>575.38800000000003</v>
      </c>
      <c r="CA87">
        <f>547.255</f>
        <v>547.255</v>
      </c>
      <c r="CB87">
        <f>448.48</f>
        <v>448.48</v>
      </c>
      <c r="CC87">
        <f>426.776</f>
        <v>426.77600000000001</v>
      </c>
      <c r="CD87" t="str">
        <f>""</f>
        <v/>
      </c>
      <c r="CE87" t="str">
        <f>""</f>
        <v/>
      </c>
      <c r="CF87" t="str">
        <f>""</f>
        <v/>
      </c>
      <c r="CG87" t="str">
        <f>""</f>
        <v/>
      </c>
      <c r="CH87" t="str">
        <f>""</f>
        <v/>
      </c>
      <c r="CI87" t="str">
        <f>""</f>
        <v/>
      </c>
      <c r="CJ87" t="str">
        <f>""</f>
        <v/>
      </c>
      <c r="CK87" t="str">
        <f>""</f>
        <v/>
      </c>
      <c r="CL87" t="str">
        <f>""</f>
        <v/>
      </c>
      <c r="CM87" t="str">
        <f>""</f>
        <v/>
      </c>
      <c r="CN87" t="str">
        <f>""</f>
        <v/>
      </c>
      <c r="CO87" t="str">
        <f>""</f>
        <v/>
      </c>
      <c r="CP87" t="str">
        <f>""</f>
        <v/>
      </c>
      <c r="CQ87" t="str">
        <f>""</f>
        <v/>
      </c>
      <c r="CR87" t="str">
        <f>""</f>
        <v/>
      </c>
      <c r="CS87" t="str">
        <f>""</f>
        <v/>
      </c>
      <c r="CT87" t="str">
        <f>""</f>
        <v/>
      </c>
      <c r="CU87" t="str">
        <f>""</f>
        <v/>
      </c>
      <c r="CV87" t="str">
        <f>""</f>
        <v/>
      </c>
      <c r="CW87" t="str">
        <f>""</f>
        <v/>
      </c>
      <c r="CX87" t="str">
        <f>""</f>
        <v/>
      </c>
      <c r="CY87" t="str">
        <f>""</f>
        <v/>
      </c>
      <c r="CZ87" t="str">
        <f>""</f>
        <v/>
      </c>
      <c r="DA87" t="str">
        <f>""</f>
        <v/>
      </c>
      <c r="DB87" t="str">
        <f>""</f>
        <v/>
      </c>
      <c r="DC87" t="str">
        <f>""</f>
        <v/>
      </c>
      <c r="DD87" t="str">
        <f>""</f>
        <v/>
      </c>
      <c r="DE87" t="str">
        <f>""</f>
        <v/>
      </c>
      <c r="DF87" t="str">
        <f>""</f>
        <v/>
      </c>
      <c r="DG87" t="str">
        <f>""</f>
        <v/>
      </c>
      <c r="DH87" t="str">
        <f>""</f>
        <v/>
      </c>
      <c r="DI87" t="str">
        <f>""</f>
        <v/>
      </c>
      <c r="DJ87" t="str">
        <f>""</f>
        <v/>
      </c>
      <c r="DK87" t="str">
        <f>""</f>
        <v/>
      </c>
      <c r="DL87" t="str">
        <f>""</f>
        <v/>
      </c>
      <c r="DM87" t="str">
        <f>""</f>
        <v/>
      </c>
      <c r="DN87" t="str">
        <f>""</f>
        <v/>
      </c>
      <c r="DO87" t="str">
        <f>""</f>
        <v/>
      </c>
      <c r="DP87" t="str">
        <f>""</f>
        <v/>
      </c>
      <c r="DQ87" t="str">
        <f>""</f>
        <v/>
      </c>
      <c r="DR87" t="str">
        <f>""</f>
        <v/>
      </c>
      <c r="DS87" t="str">
        <f>""</f>
        <v/>
      </c>
      <c r="DT87" t="str">
        <f>""</f>
        <v/>
      </c>
      <c r="DU87" t="str">
        <f>""</f>
        <v/>
      </c>
    </row>
    <row r="88" spans="1:125" x14ac:dyDescent="0.25">
      <c r="A88" t="str">
        <f>"Balance Sheet - Assets - Investments in Real Estate Ventures"</f>
        <v>Balance Sheet - Assets - Investments in Real Estate Ventures</v>
      </c>
      <c r="B88" t="str">
        <f>""</f>
        <v/>
      </c>
      <c r="E88" t="str">
        <f>"Sum"</f>
        <v>Sum</v>
      </c>
      <c r="F88">
        <f ca="1">IF(ISERROR(IF(SUM($F$89:$F$108) = 0, "", SUM($F$89:$F$108))), "", (IF(SUM($F$89:$F$108) = 0, "", SUM($F$89:$F$108))))</f>
        <v>51059.892999999989</v>
      </c>
      <c r="G88">
        <f ca="1">IF(ISERROR(IF(SUM($G$89:$G$108) = 0, "", SUM($G$89:$G$108))), "", (IF(SUM($G$89:$G$108) = 0, "", SUM($G$89:$G$108))))</f>
        <v>48720.028999999995</v>
      </c>
      <c r="H88">
        <f ca="1">IF(ISERROR(IF(SUM($H$89:$H$108) = 0, "", SUM($H$89:$H$108))), "", (IF(SUM($H$89:$H$108) = 0, "", SUM($H$89:$H$108))))</f>
        <v>47939.262999999999</v>
      </c>
      <c r="I88">
        <f ca="1">IF(ISERROR(IF(SUM($I$89:$I$108) = 0, "", SUM($I$89:$I$108))), "", (IF(SUM($I$89:$I$108) = 0, "", SUM($I$89:$I$108))))</f>
        <v>45077.364000000001</v>
      </c>
      <c r="J88">
        <f ca="1">IF(ISERROR(IF(SUM($J$89:$J$108) = 0, "", SUM($J$89:$J$108))), "", (IF(SUM($J$89:$J$108) = 0, "", SUM($J$89:$J$108))))</f>
        <v>45920.218000000001</v>
      </c>
      <c r="K88">
        <f ca="1">IF(ISERROR(IF(SUM($K$89:$K$108) = 0, "", SUM($K$89:$K$108))), "", (IF(SUM($K$89:$K$108) = 0, "", SUM($K$89:$K$108))))</f>
        <v>43353.507000000005</v>
      </c>
      <c r="L88">
        <f ca="1">IF(ISERROR(IF(SUM($L$89:$L$108) = 0, "", SUM($L$89:$L$108))), "", (IF(SUM($L$89:$L$108) = 0, "", SUM($L$89:$L$108))))</f>
        <v>43410.347000000002</v>
      </c>
      <c r="M88">
        <f ca="1">IF(ISERROR(IF(SUM($M$89:$M$108) = 0, "", SUM($M$89:$M$108))), "", (IF(SUM($M$89:$M$108) = 0, "", SUM($M$89:$M$108))))</f>
        <v>40799.152999999998</v>
      </c>
      <c r="N88">
        <f ca="1">IF(ISERROR(IF(SUM($N$89:$N$108) = 0, "", SUM($N$89:$N$108))), "", (IF(SUM($N$89:$N$108) = 0, "", SUM($N$89:$N$108))))</f>
        <v>40666.232000000004</v>
      </c>
      <c r="O88">
        <f ca="1">IF(ISERROR(IF(SUM($O$89:$O$108) = 0, "", SUM($O$89:$O$108))), "", (IF(SUM($O$89:$O$108) = 0, "", SUM($O$89:$O$108))))</f>
        <v>38724.061000000002</v>
      </c>
      <c r="P88">
        <f ca="1">IF(ISERROR(IF(SUM($P$89:$P$108) = 0, "", SUM($P$89:$P$108))), "", (IF(SUM($P$89:$P$108) = 0, "", SUM($P$89:$P$108))))</f>
        <v>37987.69</v>
      </c>
      <c r="Q88">
        <f ca="1">IF(ISERROR(IF(SUM($Q$89:$Q$108) = 0, "", SUM($Q$89:$Q$108))), "", (IF(SUM($Q$89:$Q$108) = 0, "", SUM($Q$89:$Q$108))))</f>
        <v>36423.46</v>
      </c>
      <c r="R88">
        <f ca="1">IF(ISERROR(IF(SUM($R$89:$R$108) = 0, "", SUM($R$89:$R$108))), "", (IF(SUM($R$89:$R$108) = 0, "", SUM($R$89:$R$108))))</f>
        <v>35632.097000000002</v>
      </c>
      <c r="S88">
        <f ca="1">IF(ISERROR(IF(SUM($S$89:$S$108) = 0, "", SUM($S$89:$S$108))), "", (IF(SUM($S$89:$S$108) = 0, "", SUM($S$89:$S$108))))</f>
        <v>33002.275999999998</v>
      </c>
      <c r="T88">
        <f ca="1">IF(ISERROR(IF(SUM($T$89:$T$108) = 0, "", SUM($T$89:$T$108))), "", (IF(SUM($T$89:$T$108) = 0, "", SUM($T$89:$T$108))))</f>
        <v>32259.123999999996</v>
      </c>
      <c r="U88">
        <f ca="1">IF(ISERROR(IF(SUM($U$89:$U$108) = 0, "", SUM($U$89:$U$108))), "", (IF(SUM($U$89:$U$108) = 0, "", SUM($U$89:$U$108))))</f>
        <v>30763.975999999999</v>
      </c>
      <c r="V88">
        <f ca="1">IF(ISERROR(IF(SUM($V$89:$V$108) = 0, "", SUM($V$89:$V$108))), "", (IF(SUM($V$89:$V$108) = 0, "", SUM($V$89:$V$108))))</f>
        <v>30947.846999999998</v>
      </c>
      <c r="W88">
        <f ca="1">IF(ISERROR(IF(SUM($W$89:$W$108) = 0, "", SUM($W$89:$W$108))), "", (IF(SUM($W$89:$W$108) = 0, "", SUM($W$89:$W$108))))</f>
        <v>28868.430999999997</v>
      </c>
      <c r="X88">
        <f ca="1">IF(ISERROR(IF(SUM($X$89:$X$108) = 0, "", SUM($X$89:$X$108))), "", (IF(SUM($X$89:$X$108) = 0, "", SUM($X$89:$X$108))))</f>
        <v>28542.569000000003</v>
      </c>
      <c r="Y88">
        <f ca="1">IF(ISERROR(IF(SUM($Y$89:$Y$108) = 0, "", SUM($Y$89:$Y$108))), "", (IF(SUM($Y$89:$Y$108) = 0, "", SUM($Y$89:$Y$108))))</f>
        <v>27978.218000000001</v>
      </c>
      <c r="Z88">
        <f ca="1">IF(ISERROR(IF(SUM($Z$89:$Z$108) = 0, "", SUM($Z$89:$Z$108))), "", (IF(SUM($Z$89:$Z$108) = 0, "", SUM($Z$89:$Z$108))))</f>
        <v>27876.769000000004</v>
      </c>
      <c r="AA88">
        <f ca="1">IF(ISERROR(IF(SUM($AA$89:$AA$108) = 0, "", SUM($AA$89:$AA$108))), "", (IF(SUM($AA$89:$AA$108) = 0, "", SUM($AA$89:$AA$108))))</f>
        <v>26273.810999999998</v>
      </c>
      <c r="AB88">
        <f ca="1">IF(ISERROR(IF(SUM($AB$89:$AB$108) = 0, "", SUM($AB$89:$AB$108))), "", (IF(SUM($AB$89:$AB$108) = 0, "", SUM($AB$89:$AB$108))))</f>
        <v>25429.909</v>
      </c>
      <c r="AC88">
        <f ca="1">IF(ISERROR(IF(SUM($AC$89:$AC$108) = 0, "", SUM($AC$89:$AC$108))), "", (IF(SUM($AC$89:$AC$108) = 0, "", SUM($AC$89:$AC$108))))</f>
        <v>24524.448000000004</v>
      </c>
      <c r="AD88">
        <f ca="1">IF(ISERROR(IF(SUM($AD$89:$AD$108) = 0, "", SUM($AD$89:$AD$108))), "", (IF(SUM($AD$89:$AD$108) = 0, "", SUM($AD$89:$AD$108))))</f>
        <v>23502.986000000004</v>
      </c>
      <c r="AE88">
        <f ca="1">IF(ISERROR(IF(SUM($AE$89:$AE$108) = 0, "", SUM($AE$89:$AE$108))), "", (IF(SUM($AE$89:$AE$108) = 0, "", SUM($AE$89:$AE$108))))</f>
        <v>22569.489000000001</v>
      </c>
      <c r="AF88">
        <f ca="1">IF(ISERROR(IF(SUM($AF$89:$AF$108) = 0, "", SUM($AF$89:$AF$108))), "", (IF(SUM($AF$89:$AF$108) = 0, "", SUM($AF$89:$AF$108))))</f>
        <v>22114.716</v>
      </c>
      <c r="AG88">
        <f ca="1">IF(ISERROR(IF(SUM($AG$89:$AG$108) = 0, "", SUM($AG$89:$AG$108))), "", (IF(SUM($AG$89:$AG$108) = 0, "", SUM($AG$89:$AG$108))))</f>
        <v>21700.760999999999</v>
      </c>
      <c r="AH88">
        <f ca="1">IF(ISERROR(IF(SUM($AH$89:$AH$108) = 0, "", SUM($AH$89:$AH$108))), "", (IF(SUM($AH$89:$AH$108) = 0, "", SUM($AH$89:$AH$108))))</f>
        <v>21385.896000000001</v>
      </c>
      <c r="AI88">
        <f ca="1">IF(ISERROR(IF(SUM($AI$89:$AI$108) = 0, "", SUM($AI$89:$AI$108))), "", (IF(SUM($AI$89:$AI$108) = 0, "", SUM($AI$89:$AI$108))))</f>
        <v>21882.916000000005</v>
      </c>
      <c r="AJ88">
        <f ca="1">IF(ISERROR(IF(SUM($AJ$89:$AJ$108) = 0, "", SUM($AJ$89:$AJ$108))), "", (IF(SUM($AJ$89:$AJ$108) = 0, "", SUM($AJ$89:$AJ$108))))</f>
        <v>21780.267</v>
      </c>
      <c r="AK88">
        <f ca="1">IF(ISERROR(IF(SUM($AK$89:$AK$108) = 0, "", SUM($AK$89:$AK$108))), "", (IF(SUM($AK$89:$AK$108) = 0, "", SUM($AK$89:$AK$108))))</f>
        <v>21694.271000000001</v>
      </c>
      <c r="AL88">
        <f ca="1">IF(ISERROR(IF(SUM($AL$89:$AL$108) = 0, "", SUM($AL$89:$AL$108))), "", (IF(SUM($AL$89:$AL$108) = 0, "", SUM($AL$89:$AL$108))))</f>
        <v>21817.346000000001</v>
      </c>
      <c r="AM88">
        <f ca="1">IF(ISERROR(IF(SUM($AM$89:$AM$108) = 0, "", SUM($AM$89:$AM$108))), "", (IF(SUM($AM$89:$AM$108) = 0, "", SUM($AM$89:$AM$108))))</f>
        <v>20110.342000000001</v>
      </c>
      <c r="AN88">
        <f ca="1">IF(ISERROR(IF(SUM($AN$89:$AN$108) = 0, "", SUM($AN$89:$AN$108))), "", (IF(SUM($AN$89:$AN$108) = 0, "", SUM($AN$89:$AN$108))))</f>
        <v>19752.318000000003</v>
      </c>
      <c r="AO88">
        <f ca="1">IF(ISERROR(IF(SUM($AO$89:$AO$108) = 0, "", SUM($AO$89:$AO$108))), "", (IF(SUM($AO$89:$AO$108) = 0, "", SUM($AO$89:$AO$108))))</f>
        <v>19541.682999999997</v>
      </c>
      <c r="AP88">
        <f ca="1">IF(ISERROR(IF(SUM($AP$89:$AP$108) = 0, "", SUM($AP$89:$AP$108))), "", (IF(SUM($AP$89:$AP$108) = 0, "", SUM($AP$89:$AP$108))))</f>
        <v>19693.377</v>
      </c>
      <c r="AQ88">
        <f ca="1">IF(ISERROR(IF(SUM($AQ$89:$AQ$108) = 0, "", SUM($AQ$89:$AQ$108))), "", (IF(SUM($AQ$89:$AQ$108) = 0, "", SUM($AQ$89:$AQ$108))))</f>
        <v>18593.588</v>
      </c>
      <c r="AR88">
        <f ca="1">IF(ISERROR(IF(SUM($AR$89:$AR$108) = 0, "", SUM($AR$89:$AR$108))), "", (IF(SUM($AR$89:$AR$108) = 0, "", SUM($AR$89:$AR$108))))</f>
        <v>18515.771000000001</v>
      </c>
      <c r="AS88">
        <f ca="1">IF(ISERROR(IF(SUM($AS$89:$AS$108) = 0, "", SUM($AS$89:$AS$108))), "", (IF(SUM($AS$89:$AS$108) = 0, "", SUM($AS$89:$AS$108))))</f>
        <v>18171.918000000001</v>
      </c>
      <c r="AT88">
        <f ca="1">IF(ISERROR(IF(SUM($AT$89:$AT$108) = 0, "", SUM($AT$89:$AT$108))), "", (IF(SUM($AT$89:$AT$108) = 0, "", SUM($AT$89:$AT$108))))</f>
        <v>18320.863999999994</v>
      </c>
      <c r="AU88">
        <f ca="1">IF(ISERROR(IF(SUM($AU$89:$AU$108) = 0, "", SUM($AU$89:$AU$108))), "", (IF(SUM($AU$89:$AU$108) = 0, "", SUM($AU$89:$AU$108))))</f>
        <v>17567.386999999999</v>
      </c>
      <c r="AV88">
        <f ca="1">IF(ISERROR(IF(SUM($AV$89:$AV$108) = 0, "", SUM($AV$89:$AV$108))), "", (IF(SUM($AV$89:$AV$108) = 0, "", SUM($AV$89:$AV$108))))</f>
        <v>17431.246999999999</v>
      </c>
      <c r="AW88">
        <f ca="1">IF(ISERROR(IF(SUM($AW$89:$AW$108) = 0, "", SUM($AW$89:$AW$108))), "", (IF(SUM($AW$89:$AW$108) = 0, "", SUM($AW$89:$AW$108))))</f>
        <v>16750.732999999997</v>
      </c>
      <c r="AX88">
        <f ca="1">IF(ISERROR(IF(SUM($AX$89:$AX$108) = 0, "", SUM($AX$89:$AX$108))), "", (IF(SUM($AX$89:$AX$108) = 0, "", SUM($AX$89:$AX$108))))</f>
        <v>16728.906999999996</v>
      </c>
      <c r="AY88">
        <f ca="1">IF(ISERROR(IF(SUM($AY$89:$AY$108) = 0, "", SUM($AY$89:$AY$108))), "", (IF(SUM($AY$89:$AY$108) = 0, "", SUM($AY$89:$AY$108))))</f>
        <v>16422.701999999997</v>
      </c>
      <c r="AZ88">
        <f ca="1">IF(ISERROR(IF(SUM($AZ$89:$AZ$108) = 0, "", SUM($AZ$89:$AZ$108))), "", (IF(SUM($AZ$89:$AZ$108) = 0, "", SUM($AZ$89:$AZ$108))))</f>
        <v>10833.123000000001</v>
      </c>
      <c r="BA88">
        <f ca="1">IF(ISERROR(IF(SUM($BA$89:$BA$108) = 0, "", SUM($BA$89:$BA$108))), "", (IF(SUM($BA$89:$BA$108) = 0, "", SUM($BA$89:$BA$108))))</f>
        <v>10804.23</v>
      </c>
      <c r="BB88">
        <f ca="1">IF(ISERROR(IF(SUM($BB$89:$BB$108) = 0, "", SUM($BB$89:$BB$108))), "", (IF(SUM($BB$89:$BB$108) = 0, "", SUM($BB$89:$BB$108))))</f>
        <v>10821.723</v>
      </c>
      <c r="BC88">
        <f ca="1">IF(ISERROR(IF(SUM($BC$89:$BC$108) = 0, "", SUM($BC$89:$BC$108))), "", (IF(SUM($BC$89:$BC$108) = 0, "", SUM($BC$89:$BC$108))))</f>
        <v>10940.425000000001</v>
      </c>
      <c r="BD88">
        <f ca="1">IF(ISERROR(IF(SUM($BD$89:$BD$108) = 0, "", SUM($BD$89:$BD$108))), "", (IF(SUM($BD$89:$BD$108) = 0, "", SUM($BD$89:$BD$108))))</f>
        <v>10989.222</v>
      </c>
      <c r="BE88">
        <f ca="1">IF(ISERROR(IF(SUM($BE$89:$BE$108) = 0, "", SUM($BE$89:$BE$108))), "", (IF(SUM($BE$89:$BE$108) = 0, "", SUM($BE$89:$BE$108))))</f>
        <v>11138.161000000002</v>
      </c>
      <c r="BF88">
        <f ca="1">IF(ISERROR(IF(SUM($BF$89:$BF$108) = 0, "", SUM($BF$89:$BF$108))), "", (IF(SUM($BF$89:$BF$108) = 0, "", SUM($BF$89:$BF$108))))</f>
        <v>11495.938000000002</v>
      </c>
      <c r="BG88">
        <f ca="1">IF(ISERROR(IF(SUM($BG$89:$BG$108) = 0, "", SUM($BG$89:$BG$108))), "", (IF(SUM($BG$89:$BG$108) = 0, "", SUM($BG$89:$BG$108))))</f>
        <v>11563.377</v>
      </c>
      <c r="BH88">
        <f ca="1">IF(ISERROR(IF(SUM($BH$89:$BH$108) = 0, "", SUM($BH$89:$BH$108))), "", (IF(SUM($BH$89:$BH$108) = 0, "", SUM($BH$89:$BH$108))))</f>
        <v>11726.794</v>
      </c>
      <c r="BI88">
        <f ca="1">IF(ISERROR(IF(SUM($BI$89:$BI$108) = 0, "", SUM($BI$89:$BI$108))), "", (IF(SUM($BI$89:$BI$108) = 0, "", SUM($BI$89:$BI$108))))</f>
        <v>11721.286000000002</v>
      </c>
      <c r="BJ88">
        <f ca="1">IF(ISERROR(IF(SUM($BJ$89:$BJ$108) = 0, "", SUM($BJ$89:$BJ$108))), "", (IF(SUM($BJ$89:$BJ$108) = 0, "", SUM($BJ$89:$BJ$108))))</f>
        <v>12092.250000000004</v>
      </c>
      <c r="BK88">
        <f ca="1">IF(ISERROR(IF(SUM($BK$89:$BK$108) = 0, "", SUM($BK$89:$BK$108))), "", (IF(SUM($BK$89:$BK$108) = 0, "", SUM($BK$89:$BK$108))))</f>
        <v>11850.544</v>
      </c>
      <c r="BL88">
        <f ca="1">IF(ISERROR(IF(SUM($BL$89:$BL$108) = 0, "", SUM($BL$89:$BL$108))), "", (IF(SUM($BL$89:$BL$108) = 0, "", SUM($BL$89:$BL$108))))</f>
        <v>12009.462</v>
      </c>
      <c r="BM88" t="str">
        <f ca="1">IF(ISERROR(IF(SUM($BM$89:$BM$108) = 0, "", SUM($BM$89:$BM$108))), "", (IF(SUM($BM$89:$BM$108) = 0, "", SUM($BM$89:$BM$108))))</f>
        <v/>
      </c>
      <c r="BN88">
        <f>51059.893</f>
        <v>51059.892999999996</v>
      </c>
      <c r="BO88">
        <f>48720.029</f>
        <v>48720.029000000002</v>
      </c>
      <c r="BP88">
        <f>47939.263</f>
        <v>47939.262999999999</v>
      </c>
      <c r="BQ88">
        <f>45077.364</f>
        <v>45077.364000000001</v>
      </c>
      <c r="BR88">
        <f>45920.218</f>
        <v>45920.218000000001</v>
      </c>
      <c r="BS88">
        <f>43353.507</f>
        <v>43353.506999999998</v>
      </c>
      <c r="BT88">
        <f>43410.347</f>
        <v>43410.347000000002</v>
      </c>
      <c r="BU88">
        <f>40799.153</f>
        <v>40799.152999999998</v>
      </c>
      <c r="BV88">
        <f>40666.232</f>
        <v>40666.232000000004</v>
      </c>
      <c r="BW88">
        <f>38724.061</f>
        <v>38724.061000000002</v>
      </c>
      <c r="BX88">
        <f>37987.69</f>
        <v>37987.69</v>
      </c>
      <c r="BY88">
        <f>36423.46</f>
        <v>36423.46</v>
      </c>
      <c r="BZ88">
        <f>35632.097</f>
        <v>35632.097000000002</v>
      </c>
      <c r="CA88">
        <f>33002.276</f>
        <v>33002.275999999998</v>
      </c>
      <c r="CB88">
        <f>32259.124</f>
        <v>32259.124</v>
      </c>
      <c r="CC88">
        <f>30763.976</f>
        <v>30763.975999999999</v>
      </c>
      <c r="CD88">
        <f>30947.847</f>
        <v>30947.847000000002</v>
      </c>
      <c r="CE88">
        <f>28868.431</f>
        <v>28868.431</v>
      </c>
      <c r="CF88">
        <f>28542.569</f>
        <v>28542.569</v>
      </c>
      <c r="CG88">
        <f>27978.218</f>
        <v>27978.218000000001</v>
      </c>
      <c r="CH88">
        <f>27876.769</f>
        <v>27876.769</v>
      </c>
      <c r="CI88">
        <f>26273.811</f>
        <v>26273.811000000002</v>
      </c>
      <c r="CJ88">
        <f>25429.909</f>
        <v>25429.909</v>
      </c>
      <c r="CK88">
        <f>24524.448</f>
        <v>24524.448</v>
      </c>
      <c r="CL88">
        <f>23502.986</f>
        <v>23502.986000000001</v>
      </c>
      <c r="CM88">
        <f>22569.489</f>
        <v>22569.489000000001</v>
      </c>
      <c r="CN88">
        <f>22114.716</f>
        <v>22114.716</v>
      </c>
      <c r="CO88">
        <f>21700.761</f>
        <v>21700.760999999999</v>
      </c>
      <c r="CP88">
        <f>21385.896</f>
        <v>21385.896000000001</v>
      </c>
      <c r="CQ88">
        <f>21882.916</f>
        <v>21882.916000000001</v>
      </c>
      <c r="CR88">
        <f>21780.267</f>
        <v>21780.267</v>
      </c>
      <c r="CS88">
        <f>21694.271</f>
        <v>21694.271000000001</v>
      </c>
      <c r="CT88">
        <f>21817.346</f>
        <v>21817.346000000001</v>
      </c>
      <c r="CU88">
        <f>20110.342</f>
        <v>20110.342000000001</v>
      </c>
      <c r="CV88">
        <f>19752.318</f>
        <v>19752.317999999999</v>
      </c>
      <c r="CW88">
        <f>19541.683</f>
        <v>19541.683000000001</v>
      </c>
      <c r="CX88">
        <f>19693.377</f>
        <v>19693.377</v>
      </c>
      <c r="CY88">
        <f>18593.588</f>
        <v>18593.588</v>
      </c>
      <c r="CZ88">
        <f>18515.771</f>
        <v>18515.771000000001</v>
      </c>
      <c r="DA88">
        <f>18171.918</f>
        <v>18171.918000000001</v>
      </c>
      <c r="DB88">
        <f>18320.864</f>
        <v>18320.864000000001</v>
      </c>
      <c r="DC88">
        <f>17567.387</f>
        <v>17567.386999999999</v>
      </c>
      <c r="DD88">
        <f>17431.247</f>
        <v>17431.246999999999</v>
      </c>
      <c r="DE88">
        <f>16750.733</f>
        <v>16750.733</v>
      </c>
      <c r="DF88">
        <f>16728.907</f>
        <v>16728.906999999999</v>
      </c>
      <c r="DG88">
        <f>16422.702</f>
        <v>16422.702000000001</v>
      </c>
      <c r="DH88">
        <f>10833.123</f>
        <v>10833.123</v>
      </c>
      <c r="DI88">
        <f>10804.23</f>
        <v>10804.23</v>
      </c>
      <c r="DJ88">
        <f>10821.723</f>
        <v>10821.723</v>
      </c>
      <c r="DK88">
        <f>10940.425</f>
        <v>10940.424999999999</v>
      </c>
      <c r="DL88">
        <f>10989.222</f>
        <v>10989.222</v>
      </c>
      <c r="DM88">
        <f>11138.161</f>
        <v>11138.161</v>
      </c>
      <c r="DN88">
        <f>11495.938</f>
        <v>11495.938</v>
      </c>
      <c r="DO88">
        <f>11563.377</f>
        <v>11563.377</v>
      </c>
      <c r="DP88">
        <f>11726.794</f>
        <v>11726.794</v>
      </c>
      <c r="DQ88">
        <f>11721.286</f>
        <v>11721.286</v>
      </c>
      <c r="DR88">
        <f>12092.25</f>
        <v>12092.25</v>
      </c>
      <c r="DS88">
        <f>11850.544</f>
        <v>11850.544</v>
      </c>
      <c r="DT88">
        <f>12009.462</f>
        <v>12009.462</v>
      </c>
      <c r="DU88">
        <f>0</f>
        <v>0</v>
      </c>
    </row>
    <row r="89" spans="1:125" x14ac:dyDescent="0.25">
      <c r="A89" t="str">
        <f>"            Bank of America Corp"</f>
        <v xml:space="preserve">            Bank of America Corp</v>
      </c>
      <c r="B89" t="str">
        <f>"BAC US Equity"</f>
        <v>BAC US Equity</v>
      </c>
      <c r="C89" t="str">
        <f t="shared" ref="C89:C108" si="12">"FR531"</f>
        <v>FR531</v>
      </c>
      <c r="D89" t="str">
        <f t="shared" ref="D89:D108" si="13">"FED_INVT_IN_RE_VENTURES"</f>
        <v>FED_INVT_IN_RE_VENTURES</v>
      </c>
      <c r="E89" t="str">
        <f t="shared" ref="E89:E108" si="14">"Dynamic"</f>
        <v>Dynamic</v>
      </c>
      <c r="F89">
        <f ca="1">IF(AND(ISNUMBER($F$227),$B$145=1),$F$227,HLOOKUP(INDIRECT(ADDRESS(2,COLUMN())),OFFSET($BN$2,0,0,ROW()-1,60),ROW()-1,FALSE))</f>
        <v>17848</v>
      </c>
      <c r="G89">
        <f ca="1">IF(AND(ISNUMBER($G$227),$B$145=1),$G$227,HLOOKUP(INDIRECT(ADDRESS(2,COLUMN())),OFFSET($BN$2,0,0,ROW()-1,60),ROW()-1,FALSE))</f>
        <v>17148</v>
      </c>
      <c r="H89">
        <f ca="1">IF(AND(ISNUMBER($H$227),$B$145=1),$H$227,HLOOKUP(INDIRECT(ADDRESS(2,COLUMN())),OFFSET($BN$2,0,0,ROW()-1,60),ROW()-1,FALSE))</f>
        <v>17082</v>
      </c>
      <c r="I89">
        <f ca="1">IF(AND(ISNUMBER($I$227),$B$145=1),$I$227,HLOOKUP(INDIRECT(ADDRESS(2,COLUMN())),OFFSET($BN$2,0,0,ROW()-1,60),ROW()-1,FALSE))</f>
        <v>16647</v>
      </c>
      <c r="J89">
        <f ca="1">IF(AND(ISNUMBER($J$227),$B$145=1),$J$227,HLOOKUP(INDIRECT(ADDRESS(2,COLUMN())),OFFSET($BN$2,0,0,ROW()-1,60),ROW()-1,FALSE))</f>
        <v>16677</v>
      </c>
      <c r="K89">
        <f ca="1">IF(AND(ISNUMBER($K$227),$B$145=1),$K$227,HLOOKUP(INDIRECT(ADDRESS(2,COLUMN())),OFFSET($BN$2,0,0,ROW()-1,60),ROW()-1,FALSE))</f>
        <v>15622</v>
      </c>
      <c r="L89">
        <f ca="1">IF(AND(ISNUMBER($L$227),$B$145=1),$L$227,HLOOKUP(INDIRECT(ADDRESS(2,COLUMN())),OFFSET($BN$2,0,0,ROW()-1,60),ROW()-1,FALSE))</f>
        <v>15790</v>
      </c>
      <c r="M89">
        <f ca="1">IF(AND(ISNUMBER($M$227),$B$145=1),$M$227,HLOOKUP(INDIRECT(ADDRESS(2,COLUMN())),OFFSET($BN$2,0,0,ROW()-1,60),ROW()-1,FALSE))</f>
        <v>15415</v>
      </c>
      <c r="N89">
        <f ca="1">IF(AND(ISNUMBER($N$227),$B$145=1),$N$227,HLOOKUP(INDIRECT(ADDRESS(2,COLUMN())),OFFSET($BN$2,0,0,ROW()-1,60),ROW()-1,FALSE))</f>
        <v>15343</v>
      </c>
      <c r="O89">
        <f ca="1">IF(AND(ISNUMBER($O$227),$B$145=1),$O$227,HLOOKUP(INDIRECT(ADDRESS(2,COLUMN())),OFFSET($BN$2,0,0,ROW()-1,60),ROW()-1,FALSE))</f>
        <v>14475</v>
      </c>
      <c r="P89">
        <f ca="1">IF(AND(ISNUMBER($P$227),$B$145=1),$P$227,HLOOKUP(INDIRECT(ADDRESS(2,COLUMN())),OFFSET($BN$2,0,0,ROW()-1,60),ROW()-1,FALSE))</f>
        <v>14529</v>
      </c>
      <c r="Q89">
        <f ca="1">IF(AND(ISNUMBER($Q$227),$B$145=1),$Q$227,HLOOKUP(INDIRECT(ADDRESS(2,COLUMN())),OFFSET($BN$2,0,0,ROW()-1,60),ROW()-1,FALSE))</f>
        <v>13902</v>
      </c>
      <c r="R89">
        <f ca="1">IF(AND(ISNUMBER($R$227),$B$145=1),$R$227,HLOOKUP(INDIRECT(ADDRESS(2,COLUMN())),OFFSET($BN$2,0,0,ROW()-1,60),ROW()-1,FALSE))</f>
        <v>13563</v>
      </c>
      <c r="S89">
        <f ca="1">IF(AND(ISNUMBER($S$227),$B$145=1),$S$227,HLOOKUP(INDIRECT(ADDRESS(2,COLUMN())),OFFSET($BN$2,0,0,ROW()-1,60),ROW()-1,FALSE))</f>
        <v>12738</v>
      </c>
      <c r="T89">
        <f ca="1">IF(AND(ISNUMBER($T$227),$B$145=1),$T$227,HLOOKUP(INDIRECT(ADDRESS(2,COLUMN())),OFFSET($BN$2,0,0,ROW()-1,60),ROW()-1,FALSE))</f>
        <v>12682</v>
      </c>
      <c r="U89">
        <f ca="1">IF(AND(ISNUMBER($U$227),$B$145=1),$U$227,HLOOKUP(INDIRECT(ADDRESS(2,COLUMN())),OFFSET($BN$2,0,0,ROW()-1,60),ROW()-1,FALSE))</f>
        <v>12134</v>
      </c>
      <c r="V89">
        <f ca="1">IF(AND(ISNUMBER($V$227),$B$145=1),$V$227,HLOOKUP(INDIRECT(ADDRESS(2,COLUMN())),OFFSET($BN$2,0,0,ROW()-1,60),ROW()-1,FALSE))</f>
        <v>12163</v>
      </c>
      <c r="W89">
        <f ca="1">IF(AND(ISNUMBER($W$227),$B$145=1),$W$227,HLOOKUP(INDIRECT(ADDRESS(2,COLUMN())),OFFSET($BN$2,0,0,ROW()-1,60),ROW()-1,FALSE))</f>
        <v>11407</v>
      </c>
      <c r="X89">
        <f ca="1">IF(AND(ISNUMBER($X$227),$B$145=1),$X$227,HLOOKUP(INDIRECT(ADDRESS(2,COLUMN())),OFFSET($BN$2,0,0,ROW()-1,60),ROW()-1,FALSE))</f>
        <v>11071</v>
      </c>
      <c r="Y89">
        <f ca="1">IF(AND(ISNUMBER($Y$227),$B$145=1),$Y$227,HLOOKUP(INDIRECT(ADDRESS(2,COLUMN())),OFFSET($BN$2,0,0,ROW()-1,60),ROW()-1,FALSE))</f>
        <v>10702</v>
      </c>
      <c r="Z89">
        <f ca="1">IF(AND(ISNUMBER($Z$227),$B$145=1),$Z$227,HLOOKUP(INDIRECT(ADDRESS(2,COLUMN())),OFFSET($BN$2,0,0,ROW()-1,60),ROW()-1,FALSE))</f>
        <v>10690</v>
      </c>
      <c r="AA89">
        <f ca="1">IF(AND(ISNUMBER($AA$227),$B$145=1),$AA$227,HLOOKUP(INDIRECT(ADDRESS(2,COLUMN())),OFFSET($BN$2,0,0,ROW()-1,60),ROW()-1,FALSE))</f>
        <v>9877</v>
      </c>
      <c r="AB89">
        <f ca="1">IF(AND(ISNUMBER($AB$227),$B$145=1),$AB$227,HLOOKUP(INDIRECT(ADDRESS(2,COLUMN())),OFFSET($BN$2,0,0,ROW()-1,60),ROW()-1,FALSE))</f>
        <v>9608</v>
      </c>
      <c r="AC89">
        <f ca="1">IF(AND(ISNUMBER($AC$227),$B$145=1),$AC$227,HLOOKUP(INDIRECT(ADDRESS(2,COLUMN())),OFFSET($BN$2,0,0,ROW()-1,60),ROW()-1,FALSE))</f>
        <v>9365</v>
      </c>
      <c r="AD89">
        <f ca="1">IF(AND(ISNUMBER($AD$227),$B$145=1),$AD$227,HLOOKUP(INDIRECT(ADDRESS(2,COLUMN())),OFFSET($BN$2,0,0,ROW()-1,60),ROW()-1,FALSE))</f>
        <v>8372</v>
      </c>
      <c r="AE89">
        <f ca="1">IF(AND(ISNUMBER($AE$227),$B$145=1),$AE$227,HLOOKUP(INDIRECT(ADDRESS(2,COLUMN())),OFFSET($BN$2,0,0,ROW()-1,60),ROW()-1,FALSE))</f>
        <v>8078</v>
      </c>
      <c r="AF89">
        <f ca="1">IF(AND(ISNUMBER($AF$227),$B$145=1),$AF$227,HLOOKUP(INDIRECT(ADDRESS(2,COLUMN())),OFFSET($BN$2,0,0,ROW()-1,60),ROW()-1,FALSE))</f>
        <v>7992</v>
      </c>
      <c r="AG89">
        <f ca="1">IF(AND(ISNUMBER($AG$227),$B$145=1),$AG$227,HLOOKUP(INDIRECT(ADDRESS(2,COLUMN())),OFFSET($BN$2,0,0,ROW()-1,60),ROW()-1,FALSE))</f>
        <v>7517</v>
      </c>
      <c r="AH89">
        <f ca="1">IF(AND(ISNUMBER($AH$227),$B$145=1),$AH$227,HLOOKUP(INDIRECT(ADDRESS(2,COLUMN())),OFFSET($BN$2,0,0,ROW()-1,60),ROW()-1,FALSE))</f>
        <v>7471</v>
      </c>
      <c r="AI89">
        <f ca="1">IF(AND(ISNUMBER($AI$227),$B$145=1),$AI$227,HLOOKUP(INDIRECT(ADDRESS(2,COLUMN())),OFFSET($BN$2,0,0,ROW()-1,60),ROW()-1,FALSE))</f>
        <v>7263</v>
      </c>
      <c r="AJ89">
        <f ca="1">IF(AND(ISNUMBER($AJ$227),$B$145=1),$AJ$227,HLOOKUP(INDIRECT(ADDRESS(2,COLUMN())),OFFSET($BN$2,0,0,ROW()-1,60),ROW()-1,FALSE))</f>
        <v>7129</v>
      </c>
      <c r="AK89">
        <f ca="1">IF(AND(ISNUMBER($AK$227),$B$145=1),$AK$227,HLOOKUP(INDIRECT(ADDRESS(2,COLUMN())),OFFSET($BN$2,0,0,ROW()-1,60),ROW()-1,FALSE))</f>
        <v>6966</v>
      </c>
      <c r="AL89">
        <f ca="1">IF(AND(ISNUMBER($AL$227),$B$145=1),$AL$227,HLOOKUP(INDIRECT(ADDRESS(2,COLUMN())),OFFSET($BN$2,0,0,ROW()-1,60),ROW()-1,FALSE))</f>
        <v>7020</v>
      </c>
      <c r="AM89">
        <f ca="1">IF(AND(ISNUMBER($AM$227),$B$145=1),$AM$227,HLOOKUP(INDIRECT(ADDRESS(2,COLUMN())),OFFSET($BN$2,0,0,ROW()-1,60),ROW()-1,FALSE))</f>
        <v>6456</v>
      </c>
      <c r="AN89">
        <f ca="1">IF(AND(ISNUMBER($AN$227),$B$145=1),$AN$227,HLOOKUP(INDIRECT(ADDRESS(2,COLUMN())),OFFSET($BN$2,0,0,ROW()-1,60),ROW()-1,FALSE))</f>
        <v>6582</v>
      </c>
      <c r="AO89">
        <f ca="1">IF(AND(ISNUMBER($AO$227),$B$145=1),$AO$227,HLOOKUP(INDIRECT(ADDRESS(2,COLUMN())),OFFSET($BN$2,0,0,ROW()-1,60),ROW()-1,FALSE))</f>
        <v>6682</v>
      </c>
      <c r="AP89">
        <f ca="1">IF(AND(ISNUMBER($AP$227),$B$145=1),$AP$227,HLOOKUP(INDIRECT(ADDRESS(2,COLUMN())),OFFSET($BN$2,0,0,ROW()-1,60),ROW()-1,FALSE))</f>
        <v>6775</v>
      </c>
      <c r="AQ89">
        <f ca="1">IF(AND(ISNUMBER($AQ$227),$B$145=1),$AQ$227,HLOOKUP(INDIRECT(ADDRESS(2,COLUMN())),OFFSET($BN$2,0,0,ROW()-1,60),ROW()-1,FALSE))</f>
        <v>6149</v>
      </c>
      <c r="AR89">
        <f ca="1">IF(AND(ISNUMBER($AR$227),$B$145=1),$AR$227,HLOOKUP(INDIRECT(ADDRESS(2,COLUMN())),OFFSET($BN$2,0,0,ROW()-1,60),ROW()-1,FALSE))</f>
        <v>6313</v>
      </c>
      <c r="AS89">
        <f ca="1">IF(AND(ISNUMBER($AS$227),$B$145=1),$AS$227,HLOOKUP(INDIRECT(ADDRESS(2,COLUMN())),OFFSET($BN$2,0,0,ROW()-1,60),ROW()-1,FALSE))</f>
        <v>6351</v>
      </c>
      <c r="AT89">
        <f ca="1">IF(AND(ISNUMBER($AT$227),$B$145=1),$AT$227,HLOOKUP(INDIRECT(ADDRESS(2,COLUMN())),OFFSET($BN$2,0,0,ROW()-1,60),ROW()-1,FALSE))</f>
        <v>6531</v>
      </c>
      <c r="AU89">
        <f ca="1">IF(AND(ISNUMBER($AU$227),$B$145=1),$AU$227,HLOOKUP(INDIRECT(ADDRESS(2,COLUMN())),OFFSET($BN$2,0,0,ROW()-1,60),ROW()-1,FALSE))</f>
        <v>6125</v>
      </c>
      <c r="AV89">
        <f ca="1">IF(AND(ISNUMBER($AV$227),$B$145=1),$AV$227,HLOOKUP(INDIRECT(ADDRESS(2,COLUMN())),OFFSET($BN$2,0,0,ROW()-1,60),ROW()-1,FALSE))</f>
        <v>6035</v>
      </c>
      <c r="AW89">
        <f ca="1">IF(AND(ISNUMBER($AW$227),$B$145=1),$AW$227,HLOOKUP(INDIRECT(ADDRESS(2,COLUMN())),OFFSET($BN$2,0,0,ROW()-1,60),ROW()-1,FALSE))</f>
        <v>6358</v>
      </c>
      <c r="AX89">
        <f ca="1">IF(AND(ISNUMBER($AX$227),$B$145=1),$AX$227,HLOOKUP(INDIRECT(ADDRESS(2,COLUMN())),OFFSET($BN$2,0,0,ROW()-1,60),ROW()-1,FALSE))</f>
        <v>6382</v>
      </c>
      <c r="AY89">
        <f ca="1">IF(AND(ISNUMBER($AY$227),$B$145=1),$AY$227,HLOOKUP(INDIRECT(ADDRESS(2,COLUMN())),OFFSET($BN$2,0,0,ROW()-1,60),ROW()-1,FALSE))</f>
        <v>6381</v>
      </c>
      <c r="AZ89">
        <f ca="1">IF(AND(ISNUMBER($AZ$227),$B$145=1),$AZ$227,HLOOKUP(INDIRECT(ADDRESS(2,COLUMN())),OFFSET($BN$2,0,0,ROW()-1,60),ROW()-1,FALSE))</f>
        <v>6348</v>
      </c>
      <c r="BA89">
        <f ca="1">IF(AND(ISNUMBER($BA$227),$B$145=1),$BA$227,HLOOKUP(INDIRECT(ADDRESS(2,COLUMN())),OFFSET($BN$2,0,0,ROW()-1,60),ROW()-1,FALSE))</f>
        <v>6321</v>
      </c>
      <c r="BB89">
        <f ca="1">IF(AND(ISNUMBER($BB$227),$B$145=1),$BB$227,HLOOKUP(INDIRECT(ADDRESS(2,COLUMN())),OFFSET($BN$2,0,0,ROW()-1,60),ROW()-1,FALSE))</f>
        <v>6143.5860000000002</v>
      </c>
      <c r="BC89">
        <f ca="1">IF(AND(ISNUMBER($BC$227),$B$145=1),$BC$227,HLOOKUP(INDIRECT(ADDRESS(2,COLUMN())),OFFSET($BN$2,0,0,ROW()-1,60),ROW()-1,FALSE))</f>
        <v>6187.0969999999998</v>
      </c>
      <c r="BD89">
        <f ca="1">IF(AND(ISNUMBER($BD$227),$B$145=1),$BD$227,HLOOKUP(INDIRECT(ADDRESS(2,COLUMN())),OFFSET($BN$2,0,0,ROW()-1,60),ROW()-1,FALSE))</f>
        <v>6168.6679999999997</v>
      </c>
      <c r="BE89">
        <f ca="1">IF(AND(ISNUMBER($BE$227),$B$145=1),$BE$227,HLOOKUP(INDIRECT(ADDRESS(2,COLUMN())),OFFSET($BN$2,0,0,ROW()-1,60),ROW()-1,FALSE))</f>
        <v>6280.77</v>
      </c>
      <c r="BF89">
        <f ca="1">IF(AND(ISNUMBER($BF$227),$B$145=1),$BF$227,HLOOKUP(INDIRECT(ADDRESS(2,COLUMN())),OFFSET($BN$2,0,0,ROW()-1,60),ROW()-1,FALSE))</f>
        <v>6499.3530000000001</v>
      </c>
      <c r="BG89">
        <f ca="1">IF(AND(ISNUMBER($BG$227),$B$145=1),$BG$227,HLOOKUP(INDIRECT(ADDRESS(2,COLUMN())),OFFSET($BN$2,0,0,ROW()-1,60),ROW()-1,FALSE))</f>
        <v>6380.8429999999998</v>
      </c>
      <c r="BH89">
        <f ca="1">IF(AND(ISNUMBER($BH$227),$B$145=1),$BH$227,HLOOKUP(INDIRECT(ADDRESS(2,COLUMN())),OFFSET($BN$2,0,0,ROW()-1,60),ROW()-1,FALSE))</f>
        <v>6435.3819999999996</v>
      </c>
      <c r="BI89">
        <f ca="1">IF(AND(ISNUMBER($BI$227),$B$145=1),$BI$227,HLOOKUP(INDIRECT(ADDRESS(2,COLUMN())),OFFSET($BN$2,0,0,ROW()-1,60),ROW()-1,FALSE))</f>
        <v>6545.8249999999998</v>
      </c>
      <c r="BJ89">
        <f ca="1">IF(AND(ISNUMBER($BJ$227),$B$145=1),$BJ$227,HLOOKUP(INDIRECT(ADDRESS(2,COLUMN())),OFFSET($BN$2,0,0,ROW()-1,60),ROW()-1,FALSE))</f>
        <v>6847.6540000000005</v>
      </c>
      <c r="BK89">
        <f ca="1">IF(AND(ISNUMBER($BK$227),$B$145=1),$BK$227,HLOOKUP(INDIRECT(ADDRESS(2,COLUMN())),OFFSET($BN$2,0,0,ROW()-1,60),ROW()-1,FALSE))</f>
        <v>6649.4260000000004</v>
      </c>
      <c r="BL89">
        <f ca="1">IF(AND(ISNUMBER($BL$227),$B$145=1),$BL$227,HLOOKUP(INDIRECT(ADDRESS(2,COLUMN())),OFFSET($BN$2,0,0,ROW()-1,60),ROW()-1,FALSE))</f>
        <v>6736.3509999999997</v>
      </c>
      <c r="BM89" t="str">
        <f ca="1">IF(AND(ISNUMBER($BM$227),$B$145=1),$BM$227,HLOOKUP(INDIRECT(ADDRESS(2,COLUMN())),OFFSET($BN$2,0,0,ROW()-1,60),ROW()-1,FALSE))</f>
        <v/>
      </c>
      <c r="BN89">
        <f>17848</f>
        <v>17848</v>
      </c>
      <c r="BO89">
        <f>17148</f>
        <v>17148</v>
      </c>
      <c r="BP89">
        <f>17082</f>
        <v>17082</v>
      </c>
      <c r="BQ89">
        <f>16647</f>
        <v>16647</v>
      </c>
      <c r="BR89">
        <f>16677</f>
        <v>16677</v>
      </c>
      <c r="BS89">
        <f>15622</f>
        <v>15622</v>
      </c>
      <c r="BT89">
        <f>15790</f>
        <v>15790</v>
      </c>
      <c r="BU89">
        <f>15415</f>
        <v>15415</v>
      </c>
      <c r="BV89">
        <f>15343</f>
        <v>15343</v>
      </c>
      <c r="BW89">
        <f>14475</f>
        <v>14475</v>
      </c>
      <c r="BX89">
        <f>14529</f>
        <v>14529</v>
      </c>
      <c r="BY89">
        <f>13902</f>
        <v>13902</v>
      </c>
      <c r="BZ89">
        <f>13563</f>
        <v>13563</v>
      </c>
      <c r="CA89">
        <f>12738</f>
        <v>12738</v>
      </c>
      <c r="CB89">
        <f>12682</f>
        <v>12682</v>
      </c>
      <c r="CC89">
        <f>12134</f>
        <v>12134</v>
      </c>
      <c r="CD89">
        <f>12163</f>
        <v>12163</v>
      </c>
      <c r="CE89">
        <f>11407</f>
        <v>11407</v>
      </c>
      <c r="CF89">
        <f>11071</f>
        <v>11071</v>
      </c>
      <c r="CG89">
        <f>10702</f>
        <v>10702</v>
      </c>
      <c r="CH89">
        <f>10690</f>
        <v>10690</v>
      </c>
      <c r="CI89">
        <f>9877</f>
        <v>9877</v>
      </c>
      <c r="CJ89">
        <f>9608</f>
        <v>9608</v>
      </c>
      <c r="CK89">
        <f>9365</f>
        <v>9365</v>
      </c>
      <c r="CL89">
        <f>8372</f>
        <v>8372</v>
      </c>
      <c r="CM89">
        <f>8078</f>
        <v>8078</v>
      </c>
      <c r="CN89">
        <f>7992</f>
        <v>7992</v>
      </c>
      <c r="CO89">
        <f>7517</f>
        <v>7517</v>
      </c>
      <c r="CP89">
        <f>7471</f>
        <v>7471</v>
      </c>
      <c r="CQ89">
        <f>7263</f>
        <v>7263</v>
      </c>
      <c r="CR89">
        <f>7129</f>
        <v>7129</v>
      </c>
      <c r="CS89">
        <f>6966</f>
        <v>6966</v>
      </c>
      <c r="CT89">
        <f>7020</f>
        <v>7020</v>
      </c>
      <c r="CU89">
        <f>6456</f>
        <v>6456</v>
      </c>
      <c r="CV89">
        <f>6582</f>
        <v>6582</v>
      </c>
      <c r="CW89">
        <f>6682</f>
        <v>6682</v>
      </c>
      <c r="CX89">
        <f>6775</f>
        <v>6775</v>
      </c>
      <c r="CY89">
        <f>6149</f>
        <v>6149</v>
      </c>
      <c r="CZ89">
        <f>6313</f>
        <v>6313</v>
      </c>
      <c r="DA89">
        <f>6351</f>
        <v>6351</v>
      </c>
      <c r="DB89">
        <f>6531</f>
        <v>6531</v>
      </c>
      <c r="DC89">
        <f>6125</f>
        <v>6125</v>
      </c>
      <c r="DD89">
        <f>6035</f>
        <v>6035</v>
      </c>
      <c r="DE89">
        <f>6358</f>
        <v>6358</v>
      </c>
      <c r="DF89">
        <f>6382</f>
        <v>6382</v>
      </c>
      <c r="DG89">
        <f>6381</f>
        <v>6381</v>
      </c>
      <c r="DH89">
        <f>6348</f>
        <v>6348</v>
      </c>
      <c r="DI89">
        <f>6321</f>
        <v>6321</v>
      </c>
      <c r="DJ89">
        <f>6143.586</f>
        <v>6143.5860000000002</v>
      </c>
      <c r="DK89">
        <f>6187.097</f>
        <v>6187.0969999999998</v>
      </c>
      <c r="DL89">
        <f>6168.668</f>
        <v>6168.6679999999997</v>
      </c>
      <c r="DM89">
        <f>6280.77</f>
        <v>6280.77</v>
      </c>
      <c r="DN89">
        <f>6499.353</f>
        <v>6499.3530000000001</v>
      </c>
      <c r="DO89">
        <f>6380.843</f>
        <v>6380.8429999999998</v>
      </c>
      <c r="DP89">
        <f>6435.382</f>
        <v>6435.3819999999996</v>
      </c>
      <c r="DQ89">
        <f>6545.825</f>
        <v>6545.8249999999998</v>
      </c>
      <c r="DR89">
        <f>6847.654</f>
        <v>6847.6540000000005</v>
      </c>
      <c r="DS89">
        <f>6649.426</f>
        <v>6649.4260000000004</v>
      </c>
      <c r="DT89">
        <f>6736.351</f>
        <v>6736.3509999999997</v>
      </c>
      <c r="DU89" t="str">
        <f>""</f>
        <v/>
      </c>
    </row>
    <row r="90" spans="1:125" x14ac:dyDescent="0.25">
      <c r="A90" t="str">
        <f>"            Citigroup Inc"</f>
        <v xml:space="preserve">            Citigroup Inc</v>
      </c>
      <c r="B90" t="str">
        <f>"C US Equity"</f>
        <v>C US Equity</v>
      </c>
      <c r="C90" t="str">
        <f t="shared" si="12"/>
        <v>FR531</v>
      </c>
      <c r="D90" t="str">
        <f t="shared" si="13"/>
        <v>FED_INVT_IN_RE_VENTURES</v>
      </c>
      <c r="E90" t="str">
        <f t="shared" si="14"/>
        <v>Dynamic</v>
      </c>
      <c r="F90">
        <f ca="1">IF(AND(ISNUMBER($F$228),$B$145=1),$F$228,HLOOKUP(INDIRECT(ADDRESS(2,COLUMN())),OFFSET($BN$2,0,0,ROW()-1,60),ROW()-1,FALSE))</f>
        <v>0</v>
      </c>
      <c r="G90">
        <f ca="1">IF(AND(ISNUMBER($G$228),$B$145=1),$G$228,HLOOKUP(INDIRECT(ADDRESS(2,COLUMN())),OFFSET($BN$2,0,0,ROW()-1,60),ROW()-1,FALSE))</f>
        <v>0</v>
      </c>
      <c r="H90">
        <f ca="1">IF(AND(ISNUMBER($H$228),$B$145=1),$H$228,HLOOKUP(INDIRECT(ADDRESS(2,COLUMN())),OFFSET($BN$2,0,0,ROW()-1,60),ROW()-1,FALSE))</f>
        <v>0</v>
      </c>
      <c r="I90">
        <f ca="1">IF(AND(ISNUMBER($I$228),$B$145=1),$I$228,HLOOKUP(INDIRECT(ADDRESS(2,COLUMN())),OFFSET($BN$2,0,0,ROW()-1,60),ROW()-1,FALSE))</f>
        <v>0</v>
      </c>
      <c r="J90">
        <f ca="1">IF(AND(ISNUMBER($J$228),$B$145=1),$J$228,HLOOKUP(INDIRECT(ADDRESS(2,COLUMN())),OFFSET($BN$2,0,0,ROW()-1,60),ROW()-1,FALSE))</f>
        <v>0</v>
      </c>
      <c r="K90">
        <f ca="1">IF(AND(ISNUMBER($K$228),$B$145=1),$K$228,HLOOKUP(INDIRECT(ADDRESS(2,COLUMN())),OFFSET($BN$2,0,0,ROW()-1,60),ROW()-1,FALSE))</f>
        <v>0</v>
      </c>
      <c r="L90">
        <f ca="1">IF(AND(ISNUMBER($L$228),$B$145=1),$L$228,HLOOKUP(INDIRECT(ADDRESS(2,COLUMN())),OFFSET($BN$2,0,0,ROW()-1,60),ROW()-1,FALSE))</f>
        <v>0</v>
      </c>
      <c r="M90">
        <f ca="1">IF(AND(ISNUMBER($M$228),$B$145=1),$M$228,HLOOKUP(INDIRECT(ADDRESS(2,COLUMN())),OFFSET($BN$2,0,0,ROW()-1,60),ROW()-1,FALSE))</f>
        <v>0</v>
      </c>
      <c r="N90">
        <f ca="1">IF(AND(ISNUMBER($N$228),$B$145=1),$N$228,HLOOKUP(INDIRECT(ADDRESS(2,COLUMN())),OFFSET($BN$2,0,0,ROW()-1,60),ROW()-1,FALSE))</f>
        <v>0</v>
      </c>
      <c r="O90">
        <f ca="1">IF(AND(ISNUMBER($O$228),$B$145=1),$O$228,HLOOKUP(INDIRECT(ADDRESS(2,COLUMN())),OFFSET($BN$2,0,0,ROW()-1,60),ROW()-1,FALSE))</f>
        <v>0</v>
      </c>
      <c r="P90">
        <f ca="1">IF(AND(ISNUMBER($P$228),$B$145=1),$P$228,HLOOKUP(INDIRECT(ADDRESS(2,COLUMN())),OFFSET($BN$2,0,0,ROW()-1,60),ROW()-1,FALSE))</f>
        <v>0</v>
      </c>
      <c r="Q90">
        <f ca="1">IF(AND(ISNUMBER($Q$228),$B$145=1),$Q$228,HLOOKUP(INDIRECT(ADDRESS(2,COLUMN())),OFFSET($BN$2,0,0,ROW()-1,60),ROW()-1,FALSE))</f>
        <v>0</v>
      </c>
      <c r="R90">
        <f ca="1">IF(AND(ISNUMBER($R$228),$B$145=1),$R$228,HLOOKUP(INDIRECT(ADDRESS(2,COLUMN())),OFFSET($BN$2,0,0,ROW()-1,60),ROW()-1,FALSE))</f>
        <v>0</v>
      </c>
      <c r="S90">
        <f ca="1">IF(AND(ISNUMBER($S$228),$B$145=1),$S$228,HLOOKUP(INDIRECT(ADDRESS(2,COLUMN())),OFFSET($BN$2,0,0,ROW()-1,60),ROW()-1,FALSE))</f>
        <v>0</v>
      </c>
      <c r="T90">
        <f ca="1">IF(AND(ISNUMBER($T$228),$B$145=1),$T$228,HLOOKUP(INDIRECT(ADDRESS(2,COLUMN())),OFFSET($BN$2,0,0,ROW()-1,60),ROW()-1,FALSE))</f>
        <v>0</v>
      </c>
      <c r="U90">
        <f ca="1">IF(AND(ISNUMBER($U$228),$B$145=1),$U$228,HLOOKUP(INDIRECT(ADDRESS(2,COLUMN())),OFFSET($BN$2,0,0,ROW()-1,60),ROW()-1,FALSE))</f>
        <v>0</v>
      </c>
      <c r="V90">
        <f ca="1">IF(AND(ISNUMBER($V$228),$B$145=1),$V$228,HLOOKUP(INDIRECT(ADDRESS(2,COLUMN())),OFFSET($BN$2,0,0,ROW()-1,60),ROW()-1,FALSE))</f>
        <v>0</v>
      </c>
      <c r="W90">
        <f ca="1">IF(AND(ISNUMBER($W$228),$B$145=1),$W$228,HLOOKUP(INDIRECT(ADDRESS(2,COLUMN())),OFFSET($BN$2,0,0,ROW()-1,60),ROW()-1,FALSE))</f>
        <v>0</v>
      </c>
      <c r="X90">
        <f ca="1">IF(AND(ISNUMBER($X$228),$B$145=1),$X$228,HLOOKUP(INDIRECT(ADDRESS(2,COLUMN())),OFFSET($BN$2,0,0,ROW()-1,60),ROW()-1,FALSE))</f>
        <v>0</v>
      </c>
      <c r="Y90">
        <f ca="1">IF(AND(ISNUMBER($Y$228),$B$145=1),$Y$228,HLOOKUP(INDIRECT(ADDRESS(2,COLUMN())),OFFSET($BN$2,0,0,ROW()-1,60),ROW()-1,FALSE))</f>
        <v>0</v>
      </c>
      <c r="Z90">
        <f ca="1">IF(AND(ISNUMBER($Z$228),$B$145=1),$Z$228,HLOOKUP(INDIRECT(ADDRESS(2,COLUMN())),OFFSET($BN$2,0,0,ROW()-1,60),ROW()-1,FALSE))</f>
        <v>21</v>
      </c>
      <c r="AA90">
        <f ca="1">IF(AND(ISNUMBER($AA$228),$B$145=1),$AA$228,HLOOKUP(INDIRECT(ADDRESS(2,COLUMN())),OFFSET($BN$2,0,0,ROW()-1,60),ROW()-1,FALSE))</f>
        <v>22</v>
      </c>
      <c r="AB90">
        <f ca="1">IF(AND(ISNUMBER($AB$228),$B$145=1),$AB$228,HLOOKUP(INDIRECT(ADDRESS(2,COLUMN())),OFFSET($BN$2,0,0,ROW()-1,60),ROW()-1,FALSE))</f>
        <v>22</v>
      </c>
      <c r="AC90">
        <f ca="1">IF(AND(ISNUMBER($AC$228),$B$145=1),$AC$228,HLOOKUP(INDIRECT(ADDRESS(2,COLUMN())),OFFSET($BN$2,0,0,ROW()-1,60),ROW()-1,FALSE))</f>
        <v>22</v>
      </c>
      <c r="AD90">
        <f ca="1">IF(AND(ISNUMBER($AD$228),$B$145=1),$AD$228,HLOOKUP(INDIRECT(ADDRESS(2,COLUMN())),OFFSET($BN$2,0,0,ROW()-1,60),ROW()-1,FALSE))</f>
        <v>22</v>
      </c>
      <c r="AE90">
        <f ca="1">IF(AND(ISNUMBER($AE$228),$B$145=1),$AE$228,HLOOKUP(INDIRECT(ADDRESS(2,COLUMN())),OFFSET($BN$2,0,0,ROW()-1,60),ROW()-1,FALSE))</f>
        <v>21</v>
      </c>
      <c r="AF90">
        <f ca="1">IF(AND(ISNUMBER($AF$228),$B$145=1),$AF$228,HLOOKUP(INDIRECT(ADDRESS(2,COLUMN())),OFFSET($BN$2,0,0,ROW()-1,60),ROW()-1,FALSE))</f>
        <v>19</v>
      </c>
      <c r="AG90">
        <f ca="1">IF(AND(ISNUMBER($AG$228),$B$145=1),$AG$228,HLOOKUP(INDIRECT(ADDRESS(2,COLUMN())),OFFSET($BN$2,0,0,ROW()-1,60),ROW()-1,FALSE))</f>
        <v>9</v>
      </c>
      <c r="AH90">
        <f ca="1">IF(AND(ISNUMBER($AH$228),$B$145=1),$AH$228,HLOOKUP(INDIRECT(ADDRESS(2,COLUMN())),OFFSET($BN$2,0,0,ROW()-1,60),ROW()-1,FALSE))</f>
        <v>11</v>
      </c>
      <c r="AI90">
        <f ca="1">IF(AND(ISNUMBER($AI$228),$B$145=1),$AI$228,HLOOKUP(INDIRECT(ADDRESS(2,COLUMN())),OFFSET($BN$2,0,0,ROW()-1,60),ROW()-1,FALSE))</f>
        <v>18</v>
      </c>
      <c r="AJ90">
        <f ca="1">IF(AND(ISNUMBER($AJ$228),$B$145=1),$AJ$228,HLOOKUP(INDIRECT(ADDRESS(2,COLUMN())),OFFSET($BN$2,0,0,ROW()-1,60),ROW()-1,FALSE))</f>
        <v>19</v>
      </c>
      <c r="AK90">
        <f ca="1">IF(AND(ISNUMBER($AK$228),$B$145=1),$AK$228,HLOOKUP(INDIRECT(ADDRESS(2,COLUMN())),OFFSET($BN$2,0,0,ROW()-1,60),ROW()-1,FALSE))</f>
        <v>18</v>
      </c>
      <c r="AL90">
        <f ca="1">IF(AND(ISNUMBER($AL$228),$B$145=1),$AL$228,HLOOKUP(INDIRECT(ADDRESS(2,COLUMN())),OFFSET($BN$2,0,0,ROW()-1,60),ROW()-1,FALSE))</f>
        <v>17</v>
      </c>
      <c r="AM90">
        <f ca="1">IF(AND(ISNUMBER($AM$228),$B$145=1),$AM$228,HLOOKUP(INDIRECT(ADDRESS(2,COLUMN())),OFFSET($BN$2,0,0,ROW()-1,60),ROW()-1,FALSE))</f>
        <v>18</v>
      </c>
      <c r="AN90">
        <f ca="1">IF(AND(ISNUMBER($AN$228),$B$145=1),$AN$228,HLOOKUP(INDIRECT(ADDRESS(2,COLUMN())),OFFSET($BN$2,0,0,ROW()-1,60),ROW()-1,FALSE))</f>
        <v>17</v>
      </c>
      <c r="AO90">
        <f ca="1">IF(AND(ISNUMBER($AO$228),$B$145=1),$AO$228,HLOOKUP(INDIRECT(ADDRESS(2,COLUMN())),OFFSET($BN$2,0,0,ROW()-1,60),ROW()-1,FALSE))</f>
        <v>18</v>
      </c>
      <c r="AP90">
        <f ca="1">IF(AND(ISNUMBER($AP$228),$B$145=1),$AP$228,HLOOKUP(INDIRECT(ADDRESS(2,COLUMN())),OFFSET($BN$2,0,0,ROW()-1,60),ROW()-1,FALSE))</f>
        <v>18</v>
      </c>
      <c r="AQ90">
        <f ca="1">IF(AND(ISNUMBER($AQ$228),$B$145=1),$AQ$228,HLOOKUP(INDIRECT(ADDRESS(2,COLUMN())),OFFSET($BN$2,0,0,ROW()-1,60),ROW()-1,FALSE))</f>
        <v>18</v>
      </c>
      <c r="AR90">
        <f ca="1">IF(AND(ISNUMBER($AR$228),$B$145=1),$AR$228,HLOOKUP(INDIRECT(ADDRESS(2,COLUMN())),OFFSET($BN$2,0,0,ROW()-1,60),ROW()-1,FALSE))</f>
        <v>90</v>
      </c>
      <c r="AS90">
        <f ca="1">IF(AND(ISNUMBER($AS$228),$B$145=1),$AS$228,HLOOKUP(INDIRECT(ADDRESS(2,COLUMN())),OFFSET($BN$2,0,0,ROW()-1,60),ROW()-1,FALSE))</f>
        <v>84</v>
      </c>
      <c r="AT90">
        <f ca="1">IF(AND(ISNUMBER($AT$228),$B$145=1),$AT$228,HLOOKUP(INDIRECT(ADDRESS(2,COLUMN())),OFFSET($BN$2,0,0,ROW()-1,60),ROW()-1,FALSE))</f>
        <v>115</v>
      </c>
      <c r="AU90">
        <f ca="1">IF(AND(ISNUMBER($AU$228),$B$145=1),$AU$228,HLOOKUP(INDIRECT(ADDRESS(2,COLUMN())),OFFSET($BN$2,0,0,ROW()-1,60),ROW()-1,FALSE))</f>
        <v>125</v>
      </c>
      <c r="AV90">
        <f ca="1">IF(AND(ISNUMBER($AV$228),$B$145=1),$AV$228,HLOOKUP(INDIRECT(ADDRESS(2,COLUMN())),OFFSET($BN$2,0,0,ROW()-1,60),ROW()-1,FALSE))</f>
        <v>169</v>
      </c>
      <c r="AW90">
        <f ca="1">IF(AND(ISNUMBER($AW$228),$B$145=1),$AW$228,HLOOKUP(INDIRECT(ADDRESS(2,COLUMN())),OFFSET($BN$2,0,0,ROW()-1,60),ROW()-1,FALSE))</f>
        <v>270</v>
      </c>
      <c r="AX90">
        <f ca="1">IF(AND(ISNUMBER($AX$228),$B$145=1),$AX$228,HLOOKUP(INDIRECT(ADDRESS(2,COLUMN())),OFFSET($BN$2,0,0,ROW()-1,60),ROW()-1,FALSE))</f>
        <v>301</v>
      </c>
      <c r="AY90">
        <f ca="1">IF(AND(ISNUMBER($AY$228),$B$145=1),$AY$228,HLOOKUP(INDIRECT(ADDRESS(2,COLUMN())),OFFSET($BN$2,0,0,ROW()-1,60),ROW()-1,FALSE))</f>
        <v>304</v>
      </c>
      <c r="AZ90">
        <f ca="1">IF(AND(ISNUMBER($AZ$228),$B$145=1),$AZ$228,HLOOKUP(INDIRECT(ADDRESS(2,COLUMN())),OFFSET($BN$2,0,0,ROW()-1,60),ROW()-1,FALSE))</f>
        <v>310</v>
      </c>
      <c r="BA90">
        <f ca="1">IF(AND(ISNUMBER($BA$228),$B$145=1),$BA$228,HLOOKUP(INDIRECT(ADDRESS(2,COLUMN())),OFFSET($BN$2,0,0,ROW()-1,60),ROW()-1,FALSE))</f>
        <v>314</v>
      </c>
      <c r="BB90">
        <f ca="1">IF(AND(ISNUMBER($BB$228),$B$145=1),$BB$228,HLOOKUP(INDIRECT(ADDRESS(2,COLUMN())),OFFSET($BN$2,0,0,ROW()-1,60),ROW()-1,FALSE))</f>
        <v>321</v>
      </c>
      <c r="BC90">
        <f ca="1">IF(AND(ISNUMBER($BC$228),$B$145=1),$BC$228,HLOOKUP(INDIRECT(ADDRESS(2,COLUMN())),OFFSET($BN$2,0,0,ROW()-1,60),ROW()-1,FALSE))</f>
        <v>322</v>
      </c>
      <c r="BD90">
        <f ca="1">IF(AND(ISNUMBER($BD$228),$B$145=1),$BD$228,HLOOKUP(INDIRECT(ADDRESS(2,COLUMN())),OFFSET($BN$2,0,0,ROW()-1,60),ROW()-1,FALSE))</f>
        <v>347</v>
      </c>
      <c r="BE90">
        <f ca="1">IF(AND(ISNUMBER($BE$228),$B$145=1),$BE$228,HLOOKUP(INDIRECT(ADDRESS(2,COLUMN())),OFFSET($BN$2,0,0,ROW()-1,60),ROW()-1,FALSE))</f>
        <v>365</v>
      </c>
      <c r="BF90">
        <f ca="1">IF(AND(ISNUMBER($BF$228),$B$145=1),$BF$228,HLOOKUP(INDIRECT(ADDRESS(2,COLUMN())),OFFSET($BN$2,0,0,ROW()-1,60),ROW()-1,FALSE))</f>
        <v>420</v>
      </c>
      <c r="BG90">
        <f ca="1">IF(AND(ISNUMBER($BG$228),$B$145=1),$BG$228,HLOOKUP(INDIRECT(ADDRESS(2,COLUMN())),OFFSET($BN$2,0,0,ROW()-1,60),ROW()-1,FALSE))</f>
        <v>510</v>
      </c>
      <c r="BH90">
        <f ca="1">IF(AND(ISNUMBER($BH$228),$B$145=1),$BH$228,HLOOKUP(INDIRECT(ADDRESS(2,COLUMN())),OFFSET($BN$2,0,0,ROW()-1,60),ROW()-1,FALSE))</f>
        <v>523</v>
      </c>
      <c r="BI90">
        <f ca="1">IF(AND(ISNUMBER($BI$228),$B$145=1),$BI$228,HLOOKUP(INDIRECT(ADDRESS(2,COLUMN())),OFFSET($BN$2,0,0,ROW()-1,60),ROW()-1,FALSE))</f>
        <v>501</v>
      </c>
      <c r="BJ90">
        <f ca="1">IF(AND(ISNUMBER($BJ$228),$B$145=1),$BJ$228,HLOOKUP(INDIRECT(ADDRESS(2,COLUMN())),OFFSET($BN$2,0,0,ROW()-1,60),ROW()-1,FALSE))</f>
        <v>492</v>
      </c>
      <c r="BK90">
        <f ca="1">IF(AND(ISNUMBER($BK$228),$B$145=1),$BK$228,HLOOKUP(INDIRECT(ADDRESS(2,COLUMN())),OFFSET($BN$2,0,0,ROW()-1,60),ROW()-1,FALSE))</f>
        <v>504</v>
      </c>
      <c r="BL90">
        <f ca="1">IF(AND(ISNUMBER($BL$228),$B$145=1),$BL$228,HLOOKUP(INDIRECT(ADDRESS(2,COLUMN())),OFFSET($BN$2,0,0,ROW()-1,60),ROW()-1,FALSE))</f>
        <v>496</v>
      </c>
      <c r="BM90" t="str">
        <f ca="1">IF(AND(ISNUMBER($BM$228),$B$145=1),$BM$228,HLOOKUP(INDIRECT(ADDRESS(2,COLUMN())),OFFSET($BN$2,0,0,ROW()-1,60),ROW()-1,FALSE))</f>
        <v/>
      </c>
      <c r="BN90">
        <f>0</f>
        <v>0</v>
      </c>
      <c r="BO90">
        <f>0</f>
        <v>0</v>
      </c>
      <c r="BP90">
        <f>0</f>
        <v>0</v>
      </c>
      <c r="BQ90">
        <f>0</f>
        <v>0</v>
      </c>
      <c r="BR90">
        <f>0</f>
        <v>0</v>
      </c>
      <c r="BS90">
        <f>0</f>
        <v>0</v>
      </c>
      <c r="BT90">
        <f>0</f>
        <v>0</v>
      </c>
      <c r="BU90">
        <f>0</f>
        <v>0</v>
      </c>
      <c r="BV90">
        <f>0</f>
        <v>0</v>
      </c>
      <c r="BW90">
        <f>0</f>
        <v>0</v>
      </c>
      <c r="BX90">
        <f>0</f>
        <v>0</v>
      </c>
      <c r="BY90">
        <f>0</f>
        <v>0</v>
      </c>
      <c r="BZ90">
        <f>0</f>
        <v>0</v>
      </c>
      <c r="CA90">
        <f>0</f>
        <v>0</v>
      </c>
      <c r="CB90">
        <f>0</f>
        <v>0</v>
      </c>
      <c r="CC90">
        <f>0</f>
        <v>0</v>
      </c>
      <c r="CD90">
        <f>0</f>
        <v>0</v>
      </c>
      <c r="CE90">
        <f>0</f>
        <v>0</v>
      </c>
      <c r="CF90">
        <f>0</f>
        <v>0</v>
      </c>
      <c r="CG90">
        <f>0</f>
        <v>0</v>
      </c>
      <c r="CH90">
        <f>21</f>
        <v>21</v>
      </c>
      <c r="CI90">
        <f>22</f>
        <v>22</v>
      </c>
      <c r="CJ90">
        <f>22</f>
        <v>22</v>
      </c>
      <c r="CK90">
        <f>22</f>
        <v>22</v>
      </c>
      <c r="CL90">
        <f>22</f>
        <v>22</v>
      </c>
      <c r="CM90">
        <f>21</f>
        <v>21</v>
      </c>
      <c r="CN90">
        <f>19</f>
        <v>19</v>
      </c>
      <c r="CO90">
        <f>9</f>
        <v>9</v>
      </c>
      <c r="CP90">
        <f>11</f>
        <v>11</v>
      </c>
      <c r="CQ90">
        <f>18</f>
        <v>18</v>
      </c>
      <c r="CR90">
        <f>19</f>
        <v>19</v>
      </c>
      <c r="CS90">
        <f>18</f>
        <v>18</v>
      </c>
      <c r="CT90">
        <f>17</f>
        <v>17</v>
      </c>
      <c r="CU90">
        <f>18</f>
        <v>18</v>
      </c>
      <c r="CV90">
        <f>17</f>
        <v>17</v>
      </c>
      <c r="CW90">
        <f>18</f>
        <v>18</v>
      </c>
      <c r="CX90">
        <f>18</f>
        <v>18</v>
      </c>
      <c r="CY90">
        <f>18</f>
        <v>18</v>
      </c>
      <c r="CZ90">
        <f>90</f>
        <v>90</v>
      </c>
      <c r="DA90">
        <f>84</f>
        <v>84</v>
      </c>
      <c r="DB90">
        <f>115</f>
        <v>115</v>
      </c>
      <c r="DC90">
        <f>125</f>
        <v>125</v>
      </c>
      <c r="DD90">
        <f>169</f>
        <v>169</v>
      </c>
      <c r="DE90">
        <f>270</f>
        <v>270</v>
      </c>
      <c r="DF90">
        <f>301</f>
        <v>301</v>
      </c>
      <c r="DG90">
        <f>304</f>
        <v>304</v>
      </c>
      <c r="DH90">
        <f>310</f>
        <v>310</v>
      </c>
      <c r="DI90">
        <f>314</f>
        <v>314</v>
      </c>
      <c r="DJ90">
        <f>321</f>
        <v>321</v>
      </c>
      <c r="DK90">
        <f>322</f>
        <v>322</v>
      </c>
      <c r="DL90">
        <f>347</f>
        <v>347</v>
      </c>
      <c r="DM90">
        <f>365</f>
        <v>365</v>
      </c>
      <c r="DN90">
        <f>420</f>
        <v>420</v>
      </c>
      <c r="DO90">
        <f>510</f>
        <v>510</v>
      </c>
      <c r="DP90">
        <f>523</f>
        <v>523</v>
      </c>
      <c r="DQ90">
        <f>501</f>
        <v>501</v>
      </c>
      <c r="DR90">
        <f>492</f>
        <v>492</v>
      </c>
      <c r="DS90">
        <f>504</f>
        <v>504</v>
      </c>
      <c r="DT90">
        <f>496</f>
        <v>496</v>
      </c>
      <c r="DU90" t="str">
        <f>""</f>
        <v/>
      </c>
    </row>
    <row r="91" spans="1:125" x14ac:dyDescent="0.25">
      <c r="A91" t="str">
        <f>"            Citizens Financial Group Inc"</f>
        <v xml:space="preserve">            Citizens Financial Group Inc</v>
      </c>
      <c r="B91" t="str">
        <f>"CFG US Equity"</f>
        <v>CFG US Equity</v>
      </c>
      <c r="C91" t="str">
        <f t="shared" si="12"/>
        <v>FR531</v>
      </c>
      <c r="D91" t="str">
        <f t="shared" si="13"/>
        <v>FED_INVT_IN_RE_VENTURES</v>
      </c>
      <c r="E91" t="str">
        <f t="shared" si="14"/>
        <v>Dynamic</v>
      </c>
      <c r="F91">
        <f ca="1">IF(AND(ISNUMBER($F$229),$B$145=1),$F$229,HLOOKUP(INDIRECT(ADDRESS(2,COLUMN())),OFFSET($BN$2,0,0,ROW()-1,60),ROW()-1,FALSE))</f>
        <v>2765.366</v>
      </c>
      <c r="G91">
        <f ca="1">IF(AND(ISNUMBER($G$229),$B$145=1),$G$229,HLOOKUP(INDIRECT(ADDRESS(2,COLUMN())),OFFSET($BN$2,0,0,ROW()-1,60),ROW()-1,FALSE))</f>
        <v>2616.047</v>
      </c>
      <c r="H91">
        <f ca="1">IF(AND(ISNUMBER($H$229),$B$145=1),$H$229,HLOOKUP(INDIRECT(ADDRESS(2,COLUMN())),OFFSET($BN$2,0,0,ROW()-1,60),ROW()-1,FALSE))</f>
        <v>2660.5419999999999</v>
      </c>
      <c r="I91">
        <f ca="1">IF(AND(ISNUMBER($I$229),$B$145=1),$I$229,HLOOKUP(INDIRECT(ADDRESS(2,COLUMN())),OFFSET($BN$2,0,0,ROW()-1,60),ROW()-1,FALSE))</f>
        <v>2584.5360000000001</v>
      </c>
      <c r="J91">
        <f ca="1">IF(AND(ISNUMBER($J$229),$B$145=1),$J$229,HLOOKUP(INDIRECT(ADDRESS(2,COLUMN())),OFFSET($BN$2,0,0,ROW()-1,60),ROW()-1,FALSE))</f>
        <v>2554.8530000000001</v>
      </c>
      <c r="K91">
        <f ca="1">IF(AND(ISNUMBER($K$229),$B$145=1),$K$229,HLOOKUP(INDIRECT(ADDRESS(2,COLUMN())),OFFSET($BN$2,0,0,ROW()-1,60),ROW()-1,FALSE))</f>
        <v>2505.9879999999998</v>
      </c>
      <c r="L91">
        <f ca="1">IF(AND(ISNUMBER($L$229),$B$145=1),$L$229,HLOOKUP(INDIRECT(ADDRESS(2,COLUMN())),OFFSET($BN$2,0,0,ROW()-1,60),ROW()-1,FALSE))</f>
        <v>2504.2139999999999</v>
      </c>
      <c r="M91">
        <f ca="1">IF(AND(ISNUMBER($M$229),$B$145=1),$M$229,HLOOKUP(INDIRECT(ADDRESS(2,COLUMN())),OFFSET($BN$2,0,0,ROW()-1,60),ROW()-1,FALSE))</f>
        <v>2324.2550000000001</v>
      </c>
      <c r="N91">
        <f ca="1">IF(AND(ISNUMBER($N$229),$B$145=1),$N$229,HLOOKUP(INDIRECT(ADDRESS(2,COLUMN())),OFFSET($BN$2,0,0,ROW()-1,60),ROW()-1,FALSE))</f>
        <v>2314.7440000000001</v>
      </c>
      <c r="O91">
        <f ca="1">IF(AND(ISNUMBER($O$229),$B$145=1),$O$229,HLOOKUP(INDIRECT(ADDRESS(2,COLUMN())),OFFSET($BN$2,0,0,ROW()-1,60),ROW()-1,FALSE))</f>
        <v>2232.9270000000001</v>
      </c>
      <c r="P91">
        <f ca="1">IF(AND(ISNUMBER($P$229),$B$145=1),$P$229,HLOOKUP(INDIRECT(ADDRESS(2,COLUMN())),OFFSET($BN$2,0,0,ROW()-1,60),ROW()-1,FALSE))</f>
        <v>2260.7860000000001</v>
      </c>
      <c r="Q91">
        <f ca="1">IF(AND(ISNUMBER($Q$229),$B$145=1),$Q$229,HLOOKUP(INDIRECT(ADDRESS(2,COLUMN())),OFFSET($BN$2,0,0,ROW()-1,60),ROW()-1,FALSE))</f>
        <v>2214.5590000000002</v>
      </c>
      <c r="R91">
        <f ca="1">IF(AND(ISNUMBER($R$229),$B$145=1),$R$229,HLOOKUP(INDIRECT(ADDRESS(2,COLUMN())),OFFSET($BN$2,0,0,ROW()-1,60),ROW()-1,FALSE))</f>
        <v>2063.8789999999999</v>
      </c>
      <c r="S91">
        <f ca="1">IF(AND(ISNUMBER($S$229),$B$145=1),$S$229,HLOOKUP(INDIRECT(ADDRESS(2,COLUMN())),OFFSET($BN$2,0,0,ROW()-1,60),ROW()-1,FALSE))</f>
        <v>1985.481</v>
      </c>
      <c r="T91">
        <f ca="1">IF(AND(ISNUMBER($T$229),$B$145=1),$T$229,HLOOKUP(INDIRECT(ADDRESS(2,COLUMN())),OFFSET($BN$2,0,0,ROW()-1,60),ROW()-1,FALSE))</f>
        <v>2009.902</v>
      </c>
      <c r="U91">
        <f ca="1">IF(AND(ISNUMBER($U$229),$B$145=1),$U$229,HLOOKUP(INDIRECT(ADDRESS(2,COLUMN())),OFFSET($BN$2,0,0,ROW()-1,60),ROW()-1,FALSE))</f>
        <v>1849.973</v>
      </c>
      <c r="V91">
        <f ca="1">IF(AND(ISNUMBER($V$229),$B$145=1),$V$229,HLOOKUP(INDIRECT(ADDRESS(2,COLUMN())),OFFSET($BN$2,0,0,ROW()-1,60),ROW()-1,FALSE))</f>
        <v>1755.308</v>
      </c>
      <c r="W91">
        <f ca="1">IF(AND(ISNUMBER($W$229),$B$145=1),$W$229,HLOOKUP(INDIRECT(ADDRESS(2,COLUMN())),OFFSET($BN$2,0,0,ROW()-1,60),ROW()-1,FALSE))</f>
        <v>1592.729</v>
      </c>
      <c r="X91">
        <f ca="1">IF(AND(ISNUMBER($X$229),$B$145=1),$X$229,HLOOKUP(INDIRECT(ADDRESS(2,COLUMN())),OFFSET($BN$2,0,0,ROW()-1,60),ROW()-1,FALSE))</f>
        <v>1521.1890000000001</v>
      </c>
      <c r="Y91">
        <f ca="1">IF(AND(ISNUMBER($Y$229),$B$145=1),$Y$229,HLOOKUP(INDIRECT(ADDRESS(2,COLUMN())),OFFSET($BN$2,0,0,ROW()-1,60),ROW()-1,FALSE))</f>
        <v>1492.5719999999999</v>
      </c>
      <c r="Z91">
        <f ca="1">IF(AND(ISNUMBER($Z$229),$B$145=1),$Z$229,HLOOKUP(INDIRECT(ADDRESS(2,COLUMN())),OFFSET($BN$2,0,0,ROW()-1,60),ROW()-1,FALSE))</f>
        <v>1456.2529999999999</v>
      </c>
      <c r="AA91">
        <f ca="1">IF(AND(ISNUMBER($AA$229),$B$145=1),$AA$229,HLOOKUP(INDIRECT(ADDRESS(2,COLUMN())),OFFSET($BN$2,0,0,ROW()-1,60),ROW()-1,FALSE))</f>
        <v>1378.856</v>
      </c>
      <c r="AB91">
        <f ca="1">IF(AND(ISNUMBER($AB$229),$B$145=1),$AB$229,HLOOKUP(INDIRECT(ADDRESS(2,COLUMN())),OFFSET($BN$2,0,0,ROW()-1,60),ROW()-1,FALSE))</f>
        <v>1358.0160000000001</v>
      </c>
      <c r="AC91">
        <f ca="1">IF(AND(ISNUMBER($AC$229),$B$145=1),$AC$229,HLOOKUP(INDIRECT(ADDRESS(2,COLUMN())),OFFSET($BN$2,0,0,ROW()-1,60),ROW()-1,FALSE))</f>
        <v>1319.3389999999999</v>
      </c>
      <c r="AD91">
        <f ca="1">IF(AND(ISNUMBER($AD$229),$B$145=1),$AD$229,HLOOKUP(INDIRECT(ADDRESS(2,COLUMN())),OFFSET($BN$2,0,0,ROW()-1,60),ROW()-1,FALSE))</f>
        <v>1293.78</v>
      </c>
      <c r="AE91">
        <f ca="1">IF(AND(ISNUMBER($AE$229),$B$145=1),$AE$229,HLOOKUP(INDIRECT(ADDRESS(2,COLUMN())),OFFSET($BN$2,0,0,ROW()-1,60),ROW()-1,FALSE))</f>
        <v>1260.4670000000001</v>
      </c>
      <c r="AF91">
        <f ca="1">IF(AND(ISNUMBER($AF$229),$B$145=1),$AF$229,HLOOKUP(INDIRECT(ADDRESS(2,COLUMN())),OFFSET($BN$2,0,0,ROW()-1,60),ROW()-1,FALSE))</f>
        <v>1108.2070000000001</v>
      </c>
      <c r="AG91">
        <f ca="1">IF(AND(ISNUMBER($AG$229),$B$145=1),$AG$229,HLOOKUP(INDIRECT(ADDRESS(2,COLUMN())),OFFSET($BN$2,0,0,ROW()-1,60),ROW()-1,FALSE))</f>
        <v>1046.18</v>
      </c>
      <c r="AH91">
        <f ca="1">IF(AND(ISNUMBER($AH$229),$B$145=1),$AH$229,HLOOKUP(INDIRECT(ADDRESS(2,COLUMN())),OFFSET($BN$2,0,0,ROW()-1,60),ROW()-1,FALSE))</f>
        <v>1006.3680000000001</v>
      </c>
      <c r="AI91">
        <f ca="1">IF(AND(ISNUMBER($AI$229),$B$145=1),$AI$229,HLOOKUP(INDIRECT(ADDRESS(2,COLUMN())),OFFSET($BN$2,0,0,ROW()-1,60),ROW()-1,FALSE))</f>
        <v>964.59699999999998</v>
      </c>
      <c r="AJ91">
        <f ca="1">IF(AND(ISNUMBER($AJ$229),$B$145=1),$AJ$229,HLOOKUP(INDIRECT(ADDRESS(2,COLUMN())),OFFSET($BN$2,0,0,ROW()-1,60),ROW()-1,FALSE))</f>
        <v>914.45699999999999</v>
      </c>
      <c r="AK91">
        <f ca="1">IF(AND(ISNUMBER($AK$229),$B$145=1),$AK$229,HLOOKUP(INDIRECT(ADDRESS(2,COLUMN())),OFFSET($BN$2,0,0,ROW()-1,60),ROW()-1,FALSE))</f>
        <v>843.80899999999997</v>
      </c>
      <c r="AL91">
        <f ca="1">IF(AND(ISNUMBER($AL$229),$B$145=1),$AL$229,HLOOKUP(INDIRECT(ADDRESS(2,COLUMN())),OFFSET($BN$2,0,0,ROW()-1,60),ROW()-1,FALSE))</f>
        <v>842.11199999999997</v>
      </c>
      <c r="AM91">
        <f ca="1">IF(AND(ISNUMBER($AM$229),$B$145=1),$AM$229,HLOOKUP(INDIRECT(ADDRESS(2,COLUMN())),OFFSET($BN$2,0,0,ROW()-1,60),ROW()-1,FALSE))</f>
        <v>737.96</v>
      </c>
      <c r="AN91">
        <f ca="1">IF(AND(ISNUMBER($AN$229),$B$145=1),$AN$229,HLOOKUP(INDIRECT(ADDRESS(2,COLUMN())),OFFSET($BN$2,0,0,ROW()-1,60),ROW()-1,FALSE))</f>
        <v>698.02800000000002</v>
      </c>
      <c r="AO91">
        <f ca="1">IF(AND(ISNUMBER($AO$229),$B$145=1),$AO$229,HLOOKUP(INDIRECT(ADDRESS(2,COLUMN())),OFFSET($BN$2,0,0,ROW()-1,60),ROW()-1,FALSE))</f>
        <v>679.69899999999996</v>
      </c>
      <c r="AP91">
        <f ca="1">IF(AND(ISNUMBER($AP$229),$B$145=1),$AP$229,HLOOKUP(INDIRECT(ADDRESS(2,COLUMN())),OFFSET($BN$2,0,0,ROW()-1,60),ROW()-1,FALSE))</f>
        <v>635.74199999999996</v>
      </c>
      <c r="AQ91">
        <f ca="1">IF(AND(ISNUMBER($AQ$229),$B$145=1),$AQ$229,HLOOKUP(INDIRECT(ADDRESS(2,COLUMN())),OFFSET($BN$2,0,0,ROW()-1,60),ROW()-1,FALSE))</f>
        <v>555.13199999999995</v>
      </c>
      <c r="AR91">
        <f ca="1">IF(AND(ISNUMBER($AR$229),$B$145=1),$AR$229,HLOOKUP(INDIRECT(ADDRESS(2,COLUMN())),OFFSET($BN$2,0,0,ROW()-1,60),ROW()-1,FALSE))</f>
        <v>530.25599999999997</v>
      </c>
      <c r="AS91">
        <f ca="1">IF(AND(ISNUMBER($AS$229),$B$145=1),$AS$229,HLOOKUP(INDIRECT(ADDRESS(2,COLUMN())),OFFSET($BN$2,0,0,ROW()-1,60),ROW()-1,FALSE))</f>
        <v>506.875</v>
      </c>
      <c r="AT91">
        <f ca="1">IF(AND(ISNUMBER($AT$229),$B$145=1),$AT$229,HLOOKUP(INDIRECT(ADDRESS(2,COLUMN())),OFFSET($BN$2,0,0,ROW()-1,60),ROW()-1,FALSE))</f>
        <v>431.637</v>
      </c>
      <c r="AU91">
        <f ca="1">IF(AND(ISNUMBER($AU$229),$B$145=1),$AU$229,HLOOKUP(INDIRECT(ADDRESS(2,COLUMN())),OFFSET($BN$2,0,0,ROW()-1,60),ROW()-1,FALSE))</f>
        <v>359.81200000000001</v>
      </c>
      <c r="AV91">
        <f ca="1">IF(AND(ISNUMBER($AV$229),$B$145=1),$AV$229,HLOOKUP(INDIRECT(ADDRESS(2,COLUMN())),OFFSET($BN$2,0,0,ROW()-1,60),ROW()-1,FALSE))</f>
        <v>309.19900000000001</v>
      </c>
      <c r="AW91">
        <f ca="1">IF(AND(ISNUMBER($AW$229),$B$145=1),$AW$229,HLOOKUP(INDIRECT(ADDRESS(2,COLUMN())),OFFSET($BN$2,0,0,ROW()-1,60),ROW()-1,FALSE))</f>
        <v>296.447</v>
      </c>
      <c r="AX91">
        <f ca="1">IF(AND(ISNUMBER($AX$229),$B$145=1),$AX$229,HLOOKUP(INDIRECT(ADDRESS(2,COLUMN())),OFFSET($BN$2,0,0,ROW()-1,60),ROW()-1,FALSE))</f>
        <v>251.297</v>
      </c>
      <c r="AY91">
        <f ca="1">IF(AND(ISNUMBER($AY$229),$B$145=1),$AY$229,HLOOKUP(INDIRECT(ADDRESS(2,COLUMN())),OFFSET($BN$2,0,0,ROW()-1,60),ROW()-1,FALSE))</f>
        <v>164.441</v>
      </c>
      <c r="AZ91">
        <f ca="1">IF(AND(ISNUMBER($AZ$229),$B$145=1),$AZ$229,HLOOKUP(INDIRECT(ADDRESS(2,COLUMN())),OFFSET($BN$2,0,0,ROW()-1,60),ROW()-1,FALSE))</f>
        <v>104.41</v>
      </c>
      <c r="BA91">
        <f ca="1">IF(AND(ISNUMBER($BA$229),$B$145=1),$BA$229,HLOOKUP(INDIRECT(ADDRESS(2,COLUMN())),OFFSET($BN$2,0,0,ROW()-1,60),ROW()-1,FALSE))</f>
        <v>86.3</v>
      </c>
      <c r="BB91">
        <f ca="1">IF(AND(ISNUMBER($BB$229),$B$145=1),$BB$229,HLOOKUP(INDIRECT(ADDRESS(2,COLUMN())),OFFSET($BN$2,0,0,ROW()-1,60),ROW()-1,FALSE))</f>
        <v>88.558000000000007</v>
      </c>
      <c r="BC91">
        <f ca="1">IF(AND(ISNUMBER($BC$229),$B$145=1),$BC$229,HLOOKUP(INDIRECT(ADDRESS(2,COLUMN())),OFFSET($BN$2,0,0,ROW()-1,60),ROW()-1,FALSE))</f>
        <v>99.331000000000003</v>
      </c>
      <c r="BD91">
        <f ca="1">IF(AND(ISNUMBER($BD$229),$B$145=1),$BD$229,HLOOKUP(INDIRECT(ADDRESS(2,COLUMN())),OFFSET($BN$2,0,0,ROW()-1,60),ROW()-1,FALSE))</f>
        <v>101.83499999999999</v>
      </c>
      <c r="BE91">
        <f ca="1">IF(AND(ISNUMBER($BE$229),$B$145=1),$BE$229,HLOOKUP(INDIRECT(ADDRESS(2,COLUMN())),OFFSET($BN$2,0,0,ROW()-1,60),ROW()-1,FALSE))</f>
        <v>99.192999999999998</v>
      </c>
      <c r="BF91">
        <f ca="1">IF(AND(ISNUMBER($BF$229),$B$145=1),$BF$229,HLOOKUP(INDIRECT(ADDRESS(2,COLUMN())),OFFSET($BN$2,0,0,ROW()-1,60),ROW()-1,FALSE))</f>
        <v>101.64</v>
      </c>
      <c r="BG91">
        <f ca="1">IF(AND(ISNUMBER($BG$229),$B$145=1),$BG$229,HLOOKUP(INDIRECT(ADDRESS(2,COLUMN())),OFFSET($BN$2,0,0,ROW()-1,60),ROW()-1,FALSE))</f>
        <v>113.645</v>
      </c>
      <c r="BH91">
        <f ca="1">IF(AND(ISNUMBER($BH$229),$B$145=1),$BH$229,HLOOKUP(INDIRECT(ADDRESS(2,COLUMN())),OFFSET($BN$2,0,0,ROW()-1,60),ROW()-1,FALSE))</f>
        <v>115.078</v>
      </c>
      <c r="BI91">
        <f ca="1">IF(AND(ISNUMBER($BI$229),$B$145=1),$BI$229,HLOOKUP(INDIRECT(ADDRESS(2,COLUMN())),OFFSET($BN$2,0,0,ROW()-1,60),ROW()-1,FALSE))</f>
        <v>116.798</v>
      </c>
      <c r="BJ91">
        <f ca="1">IF(AND(ISNUMBER($BJ$229),$B$145=1),$BJ$229,HLOOKUP(INDIRECT(ADDRESS(2,COLUMN())),OFFSET($BN$2,0,0,ROW()-1,60),ROW()-1,FALSE))</f>
        <v>118.559</v>
      </c>
      <c r="BK91">
        <f ca="1">IF(AND(ISNUMBER($BK$229),$B$145=1),$BK$229,HLOOKUP(INDIRECT(ADDRESS(2,COLUMN())),OFFSET($BN$2,0,0,ROW()-1,60),ROW()-1,FALSE))</f>
        <v>125.884</v>
      </c>
      <c r="BL91">
        <f ca="1">IF(AND(ISNUMBER($BL$229),$B$145=1),$BL$229,HLOOKUP(INDIRECT(ADDRESS(2,COLUMN())),OFFSET($BN$2,0,0,ROW()-1,60),ROW()-1,FALSE))</f>
        <v>130.24700000000001</v>
      </c>
      <c r="BM91" t="str">
        <f ca="1">IF(AND(ISNUMBER($BM$229),$B$145=1),$BM$229,HLOOKUP(INDIRECT(ADDRESS(2,COLUMN())),OFFSET($BN$2,0,0,ROW()-1,60),ROW()-1,FALSE))</f>
        <v/>
      </c>
      <c r="BN91">
        <f>2765.366</f>
        <v>2765.366</v>
      </c>
      <c r="BO91">
        <f>2616.047</f>
        <v>2616.047</v>
      </c>
      <c r="BP91">
        <f>2660.542</f>
        <v>2660.5419999999999</v>
      </c>
      <c r="BQ91">
        <f>2584.536</f>
        <v>2584.5360000000001</v>
      </c>
      <c r="BR91">
        <f>2554.853</f>
        <v>2554.8530000000001</v>
      </c>
      <c r="BS91">
        <f>2505.988</f>
        <v>2505.9879999999998</v>
      </c>
      <c r="BT91">
        <f>2504.214</f>
        <v>2504.2139999999999</v>
      </c>
      <c r="BU91">
        <f>2324.255</f>
        <v>2324.2550000000001</v>
      </c>
      <c r="BV91">
        <f>2314.744</f>
        <v>2314.7440000000001</v>
      </c>
      <c r="BW91">
        <f>2232.927</f>
        <v>2232.9270000000001</v>
      </c>
      <c r="BX91">
        <f>2260.786</f>
        <v>2260.7860000000001</v>
      </c>
      <c r="BY91">
        <f>2214.559</f>
        <v>2214.5590000000002</v>
      </c>
      <c r="BZ91">
        <f>2063.879</f>
        <v>2063.8789999999999</v>
      </c>
      <c r="CA91">
        <f>1985.481</f>
        <v>1985.481</v>
      </c>
      <c r="CB91">
        <f>2009.902</f>
        <v>2009.902</v>
      </c>
      <c r="CC91">
        <f>1849.973</f>
        <v>1849.973</v>
      </c>
      <c r="CD91">
        <f>1755.308</f>
        <v>1755.308</v>
      </c>
      <c r="CE91">
        <f>1592.729</f>
        <v>1592.729</v>
      </c>
      <c r="CF91">
        <f>1521.189</f>
        <v>1521.1890000000001</v>
      </c>
      <c r="CG91">
        <f>1492.572</f>
        <v>1492.5719999999999</v>
      </c>
      <c r="CH91">
        <f>1456.253</f>
        <v>1456.2529999999999</v>
      </c>
      <c r="CI91">
        <f>1378.856</f>
        <v>1378.856</v>
      </c>
      <c r="CJ91">
        <f>1358.016</f>
        <v>1358.0160000000001</v>
      </c>
      <c r="CK91">
        <f>1319.339</f>
        <v>1319.3389999999999</v>
      </c>
      <c r="CL91">
        <f>1293.78</f>
        <v>1293.78</v>
      </c>
      <c r="CM91">
        <f>1260.467</f>
        <v>1260.4670000000001</v>
      </c>
      <c r="CN91">
        <f>1108.207</f>
        <v>1108.2070000000001</v>
      </c>
      <c r="CO91">
        <f>1046.18</f>
        <v>1046.18</v>
      </c>
      <c r="CP91">
        <f>1006.368</f>
        <v>1006.3680000000001</v>
      </c>
      <c r="CQ91">
        <f>964.597</f>
        <v>964.59699999999998</v>
      </c>
      <c r="CR91">
        <f>914.457</f>
        <v>914.45699999999999</v>
      </c>
      <c r="CS91">
        <f>843.809</f>
        <v>843.80899999999997</v>
      </c>
      <c r="CT91">
        <f>842.112</f>
        <v>842.11199999999997</v>
      </c>
      <c r="CU91">
        <f>737.96</f>
        <v>737.96</v>
      </c>
      <c r="CV91">
        <f>698.028</f>
        <v>698.02800000000002</v>
      </c>
      <c r="CW91">
        <f>679.699</f>
        <v>679.69899999999996</v>
      </c>
      <c r="CX91">
        <f>635.742</f>
        <v>635.74199999999996</v>
      </c>
      <c r="CY91">
        <f>555.132</f>
        <v>555.13199999999995</v>
      </c>
      <c r="CZ91">
        <f>530.256</f>
        <v>530.25599999999997</v>
      </c>
      <c r="DA91">
        <f>506.875</f>
        <v>506.875</v>
      </c>
      <c r="DB91">
        <f>431.637</f>
        <v>431.637</v>
      </c>
      <c r="DC91">
        <f>359.812</f>
        <v>359.81200000000001</v>
      </c>
      <c r="DD91">
        <f>309.199</f>
        <v>309.19900000000001</v>
      </c>
      <c r="DE91">
        <f>296.447</f>
        <v>296.447</v>
      </c>
      <c r="DF91">
        <f>251.297</f>
        <v>251.297</v>
      </c>
      <c r="DG91">
        <f>164.441</f>
        <v>164.441</v>
      </c>
      <c r="DH91">
        <f>104.41</f>
        <v>104.41</v>
      </c>
      <c r="DI91">
        <f>86.3</f>
        <v>86.3</v>
      </c>
      <c r="DJ91">
        <f>88.558</f>
        <v>88.558000000000007</v>
      </c>
      <c r="DK91">
        <f>99.331</f>
        <v>99.331000000000003</v>
      </c>
      <c r="DL91">
        <f>101.835</f>
        <v>101.83499999999999</v>
      </c>
      <c r="DM91">
        <f>99.193</f>
        <v>99.192999999999998</v>
      </c>
      <c r="DN91">
        <f>101.64</f>
        <v>101.64</v>
      </c>
      <c r="DO91">
        <f>113.645</f>
        <v>113.645</v>
      </c>
      <c r="DP91">
        <f>115.078</f>
        <v>115.078</v>
      </c>
      <c r="DQ91">
        <f>116.798</f>
        <v>116.798</v>
      </c>
      <c r="DR91">
        <f>118.559</f>
        <v>118.559</v>
      </c>
      <c r="DS91">
        <f>125.884</f>
        <v>125.884</v>
      </c>
      <c r="DT91">
        <f>130.247</f>
        <v>130.24700000000001</v>
      </c>
      <c r="DU91" t="str">
        <f>""</f>
        <v/>
      </c>
    </row>
    <row r="92" spans="1:125" x14ac:dyDescent="0.25">
      <c r="A92" t="str">
        <f>"            Capital One Financial Corp"</f>
        <v xml:space="preserve">            Capital One Financial Corp</v>
      </c>
      <c r="B92" t="str">
        <f>"COF US Equity"</f>
        <v>COF US Equity</v>
      </c>
      <c r="C92" t="str">
        <f t="shared" si="12"/>
        <v>FR531</v>
      </c>
      <c r="D92" t="str">
        <f t="shared" si="13"/>
        <v>FED_INVT_IN_RE_VENTURES</v>
      </c>
      <c r="E92" t="str">
        <f t="shared" si="14"/>
        <v>Dynamic</v>
      </c>
      <c r="F92">
        <f ca="1">IF(AND(ISNUMBER($F$230),$B$145=1),$F$230,HLOOKUP(INDIRECT(ADDRESS(2,COLUMN())),OFFSET($BN$2,0,0,ROW()-1,60),ROW()-1,FALSE))</f>
        <v>0</v>
      </c>
      <c r="G92">
        <f ca="1">IF(AND(ISNUMBER($G$230),$B$145=1),$G$230,HLOOKUP(INDIRECT(ADDRESS(2,COLUMN())),OFFSET($BN$2,0,0,ROW()-1,60),ROW()-1,FALSE))</f>
        <v>0</v>
      </c>
      <c r="H92">
        <f ca="1">IF(AND(ISNUMBER($H$230),$B$145=1),$H$230,HLOOKUP(INDIRECT(ADDRESS(2,COLUMN())),OFFSET($BN$2,0,0,ROW()-1,60),ROW()-1,FALSE))</f>
        <v>0</v>
      </c>
      <c r="I92">
        <f ca="1">IF(AND(ISNUMBER($I$230),$B$145=1),$I$230,HLOOKUP(INDIRECT(ADDRESS(2,COLUMN())),OFFSET($BN$2,0,0,ROW()-1,60),ROW()-1,FALSE))</f>
        <v>0</v>
      </c>
      <c r="J92">
        <f ca="1">IF(AND(ISNUMBER($J$230),$B$145=1),$J$230,HLOOKUP(INDIRECT(ADDRESS(2,COLUMN())),OFFSET($BN$2,0,0,ROW()-1,60),ROW()-1,FALSE))</f>
        <v>0</v>
      </c>
      <c r="K92">
        <f ca="1">IF(AND(ISNUMBER($K$230),$B$145=1),$K$230,HLOOKUP(INDIRECT(ADDRESS(2,COLUMN())),OFFSET($BN$2,0,0,ROW()-1,60),ROW()-1,FALSE))</f>
        <v>0</v>
      </c>
      <c r="L92">
        <f ca="1">IF(AND(ISNUMBER($L$230),$B$145=1),$L$230,HLOOKUP(INDIRECT(ADDRESS(2,COLUMN())),OFFSET($BN$2,0,0,ROW()-1,60),ROW()-1,FALSE))</f>
        <v>0</v>
      </c>
      <c r="M92">
        <f ca="1">IF(AND(ISNUMBER($M$230),$B$145=1),$M$230,HLOOKUP(INDIRECT(ADDRESS(2,COLUMN())),OFFSET($BN$2,0,0,ROW()-1,60),ROW()-1,FALSE))</f>
        <v>0</v>
      </c>
      <c r="N92">
        <f ca="1">IF(AND(ISNUMBER($N$230),$B$145=1),$N$230,HLOOKUP(INDIRECT(ADDRESS(2,COLUMN())),OFFSET($BN$2,0,0,ROW()-1,60),ROW()-1,FALSE))</f>
        <v>0</v>
      </c>
      <c r="O92">
        <f ca="1">IF(AND(ISNUMBER($O$230),$B$145=1),$O$230,HLOOKUP(INDIRECT(ADDRESS(2,COLUMN())),OFFSET($BN$2,0,0,ROW()-1,60),ROW()-1,FALSE))</f>
        <v>0</v>
      </c>
      <c r="P92">
        <f ca="1">IF(AND(ISNUMBER($P$230),$B$145=1),$P$230,HLOOKUP(INDIRECT(ADDRESS(2,COLUMN())),OFFSET($BN$2,0,0,ROW()-1,60),ROW()-1,FALSE))</f>
        <v>0</v>
      </c>
      <c r="Q92">
        <f ca="1">IF(AND(ISNUMBER($Q$230),$B$145=1),$Q$230,HLOOKUP(INDIRECT(ADDRESS(2,COLUMN())),OFFSET($BN$2,0,0,ROW()-1,60),ROW()-1,FALSE))</f>
        <v>0</v>
      </c>
      <c r="R92">
        <f ca="1">IF(AND(ISNUMBER($R$230),$B$145=1),$R$230,HLOOKUP(INDIRECT(ADDRESS(2,COLUMN())),OFFSET($BN$2,0,0,ROW()-1,60),ROW()-1,FALSE))</f>
        <v>0</v>
      </c>
      <c r="S92">
        <f ca="1">IF(AND(ISNUMBER($S$230),$B$145=1),$S$230,HLOOKUP(INDIRECT(ADDRESS(2,COLUMN())),OFFSET($BN$2,0,0,ROW()-1,60),ROW()-1,FALSE))</f>
        <v>0</v>
      </c>
      <c r="T92">
        <f ca="1">IF(AND(ISNUMBER($T$230),$B$145=1),$T$230,HLOOKUP(INDIRECT(ADDRESS(2,COLUMN())),OFFSET($BN$2,0,0,ROW()-1,60),ROW()-1,FALSE))</f>
        <v>0</v>
      </c>
      <c r="U92">
        <f ca="1">IF(AND(ISNUMBER($U$230),$B$145=1),$U$230,HLOOKUP(INDIRECT(ADDRESS(2,COLUMN())),OFFSET($BN$2,0,0,ROW()-1,60),ROW()-1,FALSE))</f>
        <v>0</v>
      </c>
      <c r="V92">
        <f ca="1">IF(AND(ISNUMBER($V$230),$B$145=1),$V$230,HLOOKUP(INDIRECT(ADDRESS(2,COLUMN())),OFFSET($BN$2,0,0,ROW()-1,60),ROW()-1,FALSE))</f>
        <v>0</v>
      </c>
      <c r="W92">
        <f ca="1">IF(AND(ISNUMBER($W$230),$B$145=1),$W$230,HLOOKUP(INDIRECT(ADDRESS(2,COLUMN())),OFFSET($BN$2,0,0,ROW()-1,60),ROW()-1,FALSE))</f>
        <v>0</v>
      </c>
      <c r="X92">
        <f ca="1">IF(AND(ISNUMBER($X$230),$B$145=1),$X$230,HLOOKUP(INDIRECT(ADDRESS(2,COLUMN())),OFFSET($BN$2,0,0,ROW()-1,60),ROW()-1,FALSE))</f>
        <v>0</v>
      </c>
      <c r="Y92">
        <f ca="1">IF(AND(ISNUMBER($Y$230),$B$145=1),$Y$230,HLOOKUP(INDIRECT(ADDRESS(2,COLUMN())),OFFSET($BN$2,0,0,ROW()-1,60),ROW()-1,FALSE))</f>
        <v>0</v>
      </c>
      <c r="Z92">
        <f ca="1">IF(AND(ISNUMBER($Z$230),$B$145=1),$Z$230,HLOOKUP(INDIRECT(ADDRESS(2,COLUMN())),OFFSET($BN$2,0,0,ROW()-1,60),ROW()-1,FALSE))</f>
        <v>0</v>
      </c>
      <c r="AA92">
        <f ca="1">IF(AND(ISNUMBER($AA$230),$B$145=1),$AA$230,HLOOKUP(INDIRECT(ADDRESS(2,COLUMN())),OFFSET($BN$2,0,0,ROW()-1,60),ROW()-1,FALSE))</f>
        <v>0</v>
      </c>
      <c r="AB92">
        <f ca="1">IF(AND(ISNUMBER($AB$230),$B$145=1),$AB$230,HLOOKUP(INDIRECT(ADDRESS(2,COLUMN())),OFFSET($BN$2,0,0,ROW()-1,60),ROW()-1,FALSE))</f>
        <v>0</v>
      </c>
      <c r="AC92">
        <f ca="1">IF(AND(ISNUMBER($AC$230),$B$145=1),$AC$230,HLOOKUP(INDIRECT(ADDRESS(2,COLUMN())),OFFSET($BN$2,0,0,ROW()-1,60),ROW()-1,FALSE))</f>
        <v>0</v>
      </c>
      <c r="AD92">
        <f ca="1">IF(AND(ISNUMBER($AD$230),$B$145=1),$AD$230,HLOOKUP(INDIRECT(ADDRESS(2,COLUMN())),OFFSET($BN$2,0,0,ROW()-1,60),ROW()-1,FALSE))</f>
        <v>0</v>
      </c>
      <c r="AE92">
        <f ca="1">IF(AND(ISNUMBER($AE$230),$B$145=1),$AE$230,HLOOKUP(INDIRECT(ADDRESS(2,COLUMN())),OFFSET($BN$2,0,0,ROW()-1,60),ROW()-1,FALSE))</f>
        <v>0</v>
      </c>
      <c r="AF92">
        <f ca="1">IF(AND(ISNUMBER($AF$230),$B$145=1),$AF$230,HLOOKUP(INDIRECT(ADDRESS(2,COLUMN())),OFFSET($BN$2,0,0,ROW()-1,60),ROW()-1,FALSE))</f>
        <v>0</v>
      </c>
      <c r="AG92">
        <f ca="1">IF(AND(ISNUMBER($AG$230),$B$145=1),$AG$230,HLOOKUP(INDIRECT(ADDRESS(2,COLUMN())),OFFSET($BN$2,0,0,ROW()-1,60),ROW()-1,FALSE))</f>
        <v>0</v>
      </c>
      <c r="AH92">
        <f ca="1">IF(AND(ISNUMBER($AH$230),$B$145=1),$AH$230,HLOOKUP(INDIRECT(ADDRESS(2,COLUMN())),OFFSET($BN$2,0,0,ROW()-1,60),ROW()-1,FALSE))</f>
        <v>0</v>
      </c>
      <c r="AI92">
        <f ca="1">IF(AND(ISNUMBER($AI$230),$B$145=1),$AI$230,HLOOKUP(INDIRECT(ADDRESS(2,COLUMN())),OFFSET($BN$2,0,0,ROW()-1,60),ROW()-1,FALSE))</f>
        <v>0</v>
      </c>
      <c r="AJ92">
        <f ca="1">IF(AND(ISNUMBER($AJ$230),$B$145=1),$AJ$230,HLOOKUP(INDIRECT(ADDRESS(2,COLUMN())),OFFSET($BN$2,0,0,ROW()-1,60),ROW()-1,FALSE))</f>
        <v>0</v>
      </c>
      <c r="AK92">
        <f ca="1">IF(AND(ISNUMBER($AK$230),$B$145=1),$AK$230,HLOOKUP(INDIRECT(ADDRESS(2,COLUMN())),OFFSET($BN$2,0,0,ROW()-1,60),ROW()-1,FALSE))</f>
        <v>0</v>
      </c>
      <c r="AL92">
        <f ca="1">IF(AND(ISNUMBER($AL$230),$B$145=1),$AL$230,HLOOKUP(INDIRECT(ADDRESS(2,COLUMN())),OFFSET($BN$2,0,0,ROW()-1,60),ROW()-1,FALSE))</f>
        <v>0</v>
      </c>
      <c r="AM92">
        <f ca="1">IF(AND(ISNUMBER($AM$230),$B$145=1),$AM$230,HLOOKUP(INDIRECT(ADDRESS(2,COLUMN())),OFFSET($BN$2,0,0,ROW()-1,60),ROW()-1,FALSE))</f>
        <v>0</v>
      </c>
      <c r="AN92">
        <f ca="1">IF(AND(ISNUMBER($AN$230),$B$145=1),$AN$230,HLOOKUP(INDIRECT(ADDRESS(2,COLUMN())),OFFSET($BN$2,0,0,ROW()-1,60),ROW()-1,FALSE))</f>
        <v>0</v>
      </c>
      <c r="AO92">
        <f ca="1">IF(AND(ISNUMBER($AO$230),$B$145=1),$AO$230,HLOOKUP(INDIRECT(ADDRESS(2,COLUMN())),OFFSET($BN$2,0,0,ROW()-1,60),ROW()-1,FALSE))</f>
        <v>0</v>
      </c>
      <c r="AP92">
        <f ca="1">IF(AND(ISNUMBER($AP$230),$B$145=1),$AP$230,HLOOKUP(INDIRECT(ADDRESS(2,COLUMN())),OFFSET($BN$2,0,0,ROW()-1,60),ROW()-1,FALSE))</f>
        <v>0</v>
      </c>
      <c r="AQ92">
        <f ca="1">IF(AND(ISNUMBER($AQ$230),$B$145=1),$AQ$230,HLOOKUP(INDIRECT(ADDRESS(2,COLUMN())),OFFSET($BN$2,0,0,ROW()-1,60),ROW()-1,FALSE))</f>
        <v>0</v>
      </c>
      <c r="AR92">
        <f ca="1">IF(AND(ISNUMBER($AR$230),$B$145=1),$AR$230,HLOOKUP(INDIRECT(ADDRESS(2,COLUMN())),OFFSET($BN$2,0,0,ROW()-1,60),ROW()-1,FALSE))</f>
        <v>0</v>
      </c>
      <c r="AS92">
        <f ca="1">IF(AND(ISNUMBER($AS$230),$B$145=1),$AS$230,HLOOKUP(INDIRECT(ADDRESS(2,COLUMN())),OFFSET($BN$2,0,0,ROW()-1,60),ROW()-1,FALSE))</f>
        <v>0</v>
      </c>
      <c r="AT92">
        <f ca="1">IF(AND(ISNUMBER($AT$230),$B$145=1),$AT$230,HLOOKUP(INDIRECT(ADDRESS(2,COLUMN())),OFFSET($BN$2,0,0,ROW()-1,60),ROW()-1,FALSE))</f>
        <v>0</v>
      </c>
      <c r="AU92">
        <f ca="1">IF(AND(ISNUMBER($AU$230),$B$145=1),$AU$230,HLOOKUP(INDIRECT(ADDRESS(2,COLUMN())),OFFSET($BN$2,0,0,ROW()-1,60),ROW()-1,FALSE))</f>
        <v>0</v>
      </c>
      <c r="AV92">
        <f ca="1">IF(AND(ISNUMBER($AV$230),$B$145=1),$AV$230,HLOOKUP(INDIRECT(ADDRESS(2,COLUMN())),OFFSET($BN$2,0,0,ROW()-1,60),ROW()-1,FALSE))</f>
        <v>0</v>
      </c>
      <c r="AW92">
        <f ca="1">IF(AND(ISNUMBER($AW$230),$B$145=1),$AW$230,HLOOKUP(INDIRECT(ADDRESS(2,COLUMN())),OFFSET($BN$2,0,0,ROW()-1,60),ROW()-1,FALSE))</f>
        <v>0</v>
      </c>
      <c r="AX92">
        <f ca="1">IF(AND(ISNUMBER($AX$230),$B$145=1),$AX$230,HLOOKUP(INDIRECT(ADDRESS(2,COLUMN())),OFFSET($BN$2,0,0,ROW()-1,60),ROW()-1,FALSE))</f>
        <v>0</v>
      </c>
      <c r="AY92">
        <f ca="1">IF(AND(ISNUMBER($AY$230),$B$145=1),$AY$230,HLOOKUP(INDIRECT(ADDRESS(2,COLUMN())),OFFSET($BN$2,0,0,ROW()-1,60),ROW()-1,FALSE))</f>
        <v>0</v>
      </c>
      <c r="AZ92">
        <f ca="1">IF(AND(ISNUMBER($AZ$230),$B$145=1),$AZ$230,HLOOKUP(INDIRECT(ADDRESS(2,COLUMN())),OFFSET($BN$2,0,0,ROW()-1,60),ROW()-1,FALSE))</f>
        <v>0</v>
      </c>
      <c r="BA92">
        <f ca="1">IF(AND(ISNUMBER($BA$230),$B$145=1),$BA$230,HLOOKUP(INDIRECT(ADDRESS(2,COLUMN())),OFFSET($BN$2,0,0,ROW()-1,60),ROW()-1,FALSE))</f>
        <v>0</v>
      </c>
      <c r="BB92">
        <f ca="1">IF(AND(ISNUMBER($BB$230),$B$145=1),$BB$230,HLOOKUP(INDIRECT(ADDRESS(2,COLUMN())),OFFSET($BN$2,0,0,ROW()-1,60),ROW()-1,FALSE))</f>
        <v>0</v>
      </c>
      <c r="BC92">
        <f ca="1">IF(AND(ISNUMBER($BC$230),$B$145=1),$BC$230,HLOOKUP(INDIRECT(ADDRESS(2,COLUMN())),OFFSET($BN$2,0,0,ROW()-1,60),ROW()-1,FALSE))</f>
        <v>0</v>
      </c>
      <c r="BD92">
        <f ca="1">IF(AND(ISNUMBER($BD$230),$B$145=1),$BD$230,HLOOKUP(INDIRECT(ADDRESS(2,COLUMN())),OFFSET($BN$2,0,0,ROW()-1,60),ROW()-1,FALSE))</f>
        <v>0</v>
      </c>
      <c r="BE92">
        <f ca="1">IF(AND(ISNUMBER($BE$230),$B$145=1),$BE$230,HLOOKUP(INDIRECT(ADDRESS(2,COLUMN())),OFFSET($BN$2,0,0,ROW()-1,60),ROW()-1,FALSE))</f>
        <v>0</v>
      </c>
      <c r="BF92">
        <f ca="1">IF(AND(ISNUMBER($BF$230),$B$145=1),$BF$230,HLOOKUP(INDIRECT(ADDRESS(2,COLUMN())),OFFSET($BN$2,0,0,ROW()-1,60),ROW()-1,FALSE))</f>
        <v>0</v>
      </c>
      <c r="BG92">
        <f ca="1">IF(AND(ISNUMBER($BG$230),$B$145=1),$BG$230,HLOOKUP(INDIRECT(ADDRESS(2,COLUMN())),OFFSET($BN$2,0,0,ROW()-1,60),ROW()-1,FALSE))</f>
        <v>0</v>
      </c>
      <c r="BH92">
        <f ca="1">IF(AND(ISNUMBER($BH$230),$B$145=1),$BH$230,HLOOKUP(INDIRECT(ADDRESS(2,COLUMN())),OFFSET($BN$2,0,0,ROW()-1,60),ROW()-1,FALSE))</f>
        <v>0</v>
      </c>
      <c r="BI92">
        <f ca="1">IF(AND(ISNUMBER($BI$230),$B$145=1),$BI$230,HLOOKUP(INDIRECT(ADDRESS(2,COLUMN())),OFFSET($BN$2,0,0,ROW()-1,60),ROW()-1,FALSE))</f>
        <v>0</v>
      </c>
      <c r="BJ92">
        <f ca="1">IF(AND(ISNUMBER($BJ$230),$B$145=1),$BJ$230,HLOOKUP(INDIRECT(ADDRESS(2,COLUMN())),OFFSET($BN$2,0,0,ROW()-1,60),ROW()-1,FALSE))</f>
        <v>0</v>
      </c>
      <c r="BK92">
        <f ca="1">IF(AND(ISNUMBER($BK$230),$B$145=1),$BK$230,HLOOKUP(INDIRECT(ADDRESS(2,COLUMN())),OFFSET($BN$2,0,0,ROW()-1,60),ROW()-1,FALSE))</f>
        <v>0</v>
      </c>
      <c r="BL92">
        <f ca="1">IF(AND(ISNUMBER($BL$230),$B$145=1),$BL$230,HLOOKUP(INDIRECT(ADDRESS(2,COLUMN())),OFFSET($BN$2,0,0,ROW()-1,60),ROW()-1,FALSE))</f>
        <v>0</v>
      </c>
      <c r="BM92" t="str">
        <f ca="1">IF(AND(ISNUMBER($BM$230),$B$145=1),$BM$230,HLOOKUP(INDIRECT(ADDRESS(2,COLUMN())),OFFSET($BN$2,0,0,ROW()-1,60),ROW()-1,FALSE))</f>
        <v/>
      </c>
      <c r="BN92">
        <f>0</f>
        <v>0</v>
      </c>
      <c r="BO92">
        <f>0</f>
        <v>0</v>
      </c>
      <c r="BP92">
        <f>0</f>
        <v>0</v>
      </c>
      <c r="BQ92">
        <f>0</f>
        <v>0</v>
      </c>
      <c r="BR92">
        <f>0</f>
        <v>0</v>
      </c>
      <c r="BS92">
        <f>0</f>
        <v>0</v>
      </c>
      <c r="BT92">
        <f>0</f>
        <v>0</v>
      </c>
      <c r="BU92">
        <f>0</f>
        <v>0</v>
      </c>
      <c r="BV92">
        <f>0</f>
        <v>0</v>
      </c>
      <c r="BW92">
        <f>0</f>
        <v>0</v>
      </c>
      <c r="BX92">
        <f>0</f>
        <v>0</v>
      </c>
      <c r="BY92">
        <f>0</f>
        <v>0</v>
      </c>
      <c r="BZ92">
        <f>0</f>
        <v>0</v>
      </c>
      <c r="CA92">
        <f>0</f>
        <v>0</v>
      </c>
      <c r="CB92">
        <f>0</f>
        <v>0</v>
      </c>
      <c r="CC92">
        <f>0</f>
        <v>0</v>
      </c>
      <c r="CD92">
        <f>0</f>
        <v>0</v>
      </c>
      <c r="CE92">
        <f>0</f>
        <v>0</v>
      </c>
      <c r="CF92">
        <f>0</f>
        <v>0</v>
      </c>
      <c r="CG92">
        <f>0</f>
        <v>0</v>
      </c>
      <c r="CH92">
        <f>0</f>
        <v>0</v>
      </c>
      <c r="CI92">
        <f>0</f>
        <v>0</v>
      </c>
      <c r="CJ92">
        <f>0</f>
        <v>0</v>
      </c>
      <c r="CK92">
        <f>0</f>
        <v>0</v>
      </c>
      <c r="CL92">
        <f>0</f>
        <v>0</v>
      </c>
      <c r="CM92">
        <f>0</f>
        <v>0</v>
      </c>
      <c r="CN92">
        <f>0</f>
        <v>0</v>
      </c>
      <c r="CO92">
        <f>0</f>
        <v>0</v>
      </c>
      <c r="CP92">
        <f>0</f>
        <v>0</v>
      </c>
      <c r="CQ92">
        <f>0</f>
        <v>0</v>
      </c>
      <c r="CR92">
        <f>0</f>
        <v>0</v>
      </c>
      <c r="CS92">
        <f>0</f>
        <v>0</v>
      </c>
      <c r="CT92">
        <f>0</f>
        <v>0</v>
      </c>
      <c r="CU92">
        <f>0</f>
        <v>0</v>
      </c>
      <c r="CV92">
        <f>0</f>
        <v>0</v>
      </c>
      <c r="CW92">
        <f>0</f>
        <v>0</v>
      </c>
      <c r="CX92">
        <f>0</f>
        <v>0</v>
      </c>
      <c r="CY92">
        <f>0</f>
        <v>0</v>
      </c>
      <c r="CZ92">
        <f>0</f>
        <v>0</v>
      </c>
      <c r="DA92">
        <f>0</f>
        <v>0</v>
      </c>
      <c r="DB92">
        <f>0</f>
        <v>0</v>
      </c>
      <c r="DC92">
        <f>0</f>
        <v>0</v>
      </c>
      <c r="DD92">
        <f>0</f>
        <v>0</v>
      </c>
      <c r="DE92">
        <f>0</f>
        <v>0</v>
      </c>
      <c r="DF92">
        <f>0</f>
        <v>0</v>
      </c>
      <c r="DG92">
        <f>0</f>
        <v>0</v>
      </c>
      <c r="DH92">
        <f>0</f>
        <v>0</v>
      </c>
      <c r="DI92">
        <f>0</f>
        <v>0</v>
      </c>
      <c r="DJ92">
        <f>0</f>
        <v>0</v>
      </c>
      <c r="DK92">
        <f>0</f>
        <v>0</v>
      </c>
      <c r="DL92">
        <f>0</f>
        <v>0</v>
      </c>
      <c r="DM92">
        <f>0</f>
        <v>0</v>
      </c>
      <c r="DN92">
        <f>0</f>
        <v>0</v>
      </c>
      <c r="DO92">
        <f>0</f>
        <v>0</v>
      </c>
      <c r="DP92">
        <f>0</f>
        <v>0</v>
      </c>
      <c r="DQ92">
        <f>0</f>
        <v>0</v>
      </c>
      <c r="DR92">
        <f>0</f>
        <v>0</v>
      </c>
      <c r="DS92">
        <f>0</f>
        <v>0</v>
      </c>
      <c r="DT92">
        <f>0</f>
        <v>0</v>
      </c>
      <c r="DU92" t="str">
        <f>""</f>
        <v/>
      </c>
    </row>
    <row r="93" spans="1:125" x14ac:dyDescent="0.25">
      <c r="A93" t="str">
        <f>"            Comerica Inc"</f>
        <v xml:space="preserve">            Comerica Inc</v>
      </c>
      <c r="B93" t="str">
        <f>"CMA US Equity"</f>
        <v>CMA US Equity</v>
      </c>
      <c r="C93" t="str">
        <f t="shared" si="12"/>
        <v>FR531</v>
      </c>
      <c r="D93" t="str">
        <f t="shared" si="13"/>
        <v>FED_INVT_IN_RE_VENTURES</v>
      </c>
      <c r="E93" t="str">
        <f t="shared" si="14"/>
        <v>Dynamic</v>
      </c>
      <c r="F93" t="str">
        <f ca="1">IF(AND(ISNUMBER($F$231),$B$145=1),$F$231,HLOOKUP(INDIRECT(ADDRESS(2,COLUMN())),OFFSET($BN$2,0,0,ROW()-1,60),ROW()-1,FALSE))</f>
        <v/>
      </c>
      <c r="G93">
        <f ca="1">IF(AND(ISNUMBER($G$231),$B$145=1),$G$231,HLOOKUP(INDIRECT(ADDRESS(2,COLUMN())),OFFSET($BN$2,0,0,ROW()-1,60),ROW()-1,FALSE))</f>
        <v>0</v>
      </c>
      <c r="H93">
        <f ca="1">IF(AND(ISNUMBER($H$231),$B$145=1),$H$231,HLOOKUP(INDIRECT(ADDRESS(2,COLUMN())),OFFSET($BN$2,0,0,ROW()-1,60),ROW()-1,FALSE))</f>
        <v>0</v>
      </c>
      <c r="I93">
        <f ca="1">IF(AND(ISNUMBER($I$231),$B$145=1),$I$231,HLOOKUP(INDIRECT(ADDRESS(2,COLUMN())),OFFSET($BN$2,0,0,ROW()-1,60),ROW()-1,FALSE))</f>
        <v>0</v>
      </c>
      <c r="J93">
        <f ca="1">IF(AND(ISNUMBER($J$231),$B$145=1),$J$231,HLOOKUP(INDIRECT(ADDRESS(2,COLUMN())),OFFSET($BN$2,0,0,ROW()-1,60),ROW()-1,FALSE))</f>
        <v>0</v>
      </c>
      <c r="K93">
        <f ca="1">IF(AND(ISNUMBER($K$231),$B$145=1),$K$231,HLOOKUP(INDIRECT(ADDRESS(2,COLUMN())),OFFSET($BN$2,0,0,ROW()-1,60),ROW()-1,FALSE))</f>
        <v>0</v>
      </c>
      <c r="L93">
        <f ca="1">IF(AND(ISNUMBER($L$231),$B$145=1),$L$231,HLOOKUP(INDIRECT(ADDRESS(2,COLUMN())),OFFSET($BN$2,0,0,ROW()-1,60),ROW()-1,FALSE))</f>
        <v>0</v>
      </c>
      <c r="M93">
        <f ca="1">IF(AND(ISNUMBER($M$231),$B$145=1),$M$231,HLOOKUP(INDIRECT(ADDRESS(2,COLUMN())),OFFSET($BN$2,0,0,ROW()-1,60),ROW()-1,FALSE))</f>
        <v>0</v>
      </c>
      <c r="N93">
        <f ca="1">IF(AND(ISNUMBER($N$231),$B$145=1),$N$231,HLOOKUP(INDIRECT(ADDRESS(2,COLUMN())),OFFSET($BN$2,0,0,ROW()-1,60),ROW()-1,FALSE))</f>
        <v>0</v>
      </c>
      <c r="O93">
        <f ca="1">IF(AND(ISNUMBER($O$231),$B$145=1),$O$231,HLOOKUP(INDIRECT(ADDRESS(2,COLUMN())),OFFSET($BN$2,0,0,ROW()-1,60),ROW()-1,FALSE))</f>
        <v>0</v>
      </c>
      <c r="P93">
        <f ca="1">IF(AND(ISNUMBER($P$231),$B$145=1),$P$231,HLOOKUP(INDIRECT(ADDRESS(2,COLUMN())),OFFSET($BN$2,0,0,ROW()-1,60),ROW()-1,FALSE))</f>
        <v>0</v>
      </c>
      <c r="Q93">
        <f ca="1">IF(AND(ISNUMBER($Q$231),$B$145=1),$Q$231,HLOOKUP(INDIRECT(ADDRESS(2,COLUMN())),OFFSET($BN$2,0,0,ROW()-1,60),ROW()-1,FALSE))</f>
        <v>0</v>
      </c>
      <c r="R93">
        <f ca="1">IF(AND(ISNUMBER($R$231),$B$145=1),$R$231,HLOOKUP(INDIRECT(ADDRESS(2,COLUMN())),OFFSET($BN$2,0,0,ROW()-1,60),ROW()-1,FALSE))</f>
        <v>0</v>
      </c>
      <c r="S93">
        <f ca="1">IF(AND(ISNUMBER($S$231),$B$145=1),$S$231,HLOOKUP(INDIRECT(ADDRESS(2,COLUMN())),OFFSET($BN$2,0,0,ROW()-1,60),ROW()-1,FALSE))</f>
        <v>0</v>
      </c>
      <c r="T93">
        <f ca="1">IF(AND(ISNUMBER($T$231),$B$145=1),$T$231,HLOOKUP(INDIRECT(ADDRESS(2,COLUMN())),OFFSET($BN$2,0,0,ROW()-1,60),ROW()-1,FALSE))</f>
        <v>0</v>
      </c>
      <c r="U93">
        <f ca="1">IF(AND(ISNUMBER($U$231),$B$145=1),$U$231,HLOOKUP(INDIRECT(ADDRESS(2,COLUMN())),OFFSET($BN$2,0,0,ROW()-1,60),ROW()-1,FALSE))</f>
        <v>0</v>
      </c>
      <c r="V93">
        <f ca="1">IF(AND(ISNUMBER($V$231),$B$145=1),$V$231,HLOOKUP(INDIRECT(ADDRESS(2,COLUMN())),OFFSET($BN$2,0,0,ROW()-1,60),ROW()-1,FALSE))</f>
        <v>0</v>
      </c>
      <c r="W93">
        <f ca="1">IF(AND(ISNUMBER($W$231),$B$145=1),$W$231,HLOOKUP(INDIRECT(ADDRESS(2,COLUMN())),OFFSET($BN$2,0,0,ROW()-1,60),ROW()-1,FALSE))</f>
        <v>0</v>
      </c>
      <c r="X93">
        <f ca="1">IF(AND(ISNUMBER($X$231),$B$145=1),$X$231,HLOOKUP(INDIRECT(ADDRESS(2,COLUMN())),OFFSET($BN$2,0,0,ROW()-1,60),ROW()-1,FALSE))</f>
        <v>0</v>
      </c>
      <c r="Y93">
        <f ca="1">IF(AND(ISNUMBER($Y$231),$B$145=1),$Y$231,HLOOKUP(INDIRECT(ADDRESS(2,COLUMN())),OFFSET($BN$2,0,0,ROW()-1,60),ROW()-1,FALSE))</f>
        <v>0</v>
      </c>
      <c r="Z93">
        <f ca="1">IF(AND(ISNUMBER($Z$231),$B$145=1),$Z$231,HLOOKUP(INDIRECT(ADDRESS(2,COLUMN())),OFFSET($BN$2,0,0,ROW()-1,60),ROW()-1,FALSE))</f>
        <v>0</v>
      </c>
      <c r="AA93">
        <f ca="1">IF(AND(ISNUMBER($AA$231),$B$145=1),$AA$231,HLOOKUP(INDIRECT(ADDRESS(2,COLUMN())),OFFSET($BN$2,0,0,ROW()-1,60),ROW()-1,FALSE))</f>
        <v>0</v>
      </c>
      <c r="AB93">
        <f ca="1">IF(AND(ISNUMBER($AB$231),$B$145=1),$AB$231,HLOOKUP(INDIRECT(ADDRESS(2,COLUMN())),OFFSET($BN$2,0,0,ROW()-1,60),ROW()-1,FALSE))</f>
        <v>0</v>
      </c>
      <c r="AC93">
        <f ca="1">IF(AND(ISNUMBER($AC$231),$B$145=1),$AC$231,HLOOKUP(INDIRECT(ADDRESS(2,COLUMN())),OFFSET($BN$2,0,0,ROW()-1,60),ROW()-1,FALSE))</f>
        <v>0</v>
      </c>
      <c r="AD93">
        <f ca="1">IF(AND(ISNUMBER($AD$231),$B$145=1),$AD$231,HLOOKUP(INDIRECT(ADDRESS(2,COLUMN())),OFFSET($BN$2,0,0,ROW()-1,60),ROW()-1,FALSE))</f>
        <v>0</v>
      </c>
      <c r="AE93">
        <f ca="1">IF(AND(ISNUMBER($AE$231),$B$145=1),$AE$231,HLOOKUP(INDIRECT(ADDRESS(2,COLUMN())),OFFSET($BN$2,0,0,ROW()-1,60),ROW()-1,FALSE))</f>
        <v>0</v>
      </c>
      <c r="AF93">
        <f ca="1">IF(AND(ISNUMBER($AF$231),$B$145=1),$AF$231,HLOOKUP(INDIRECT(ADDRESS(2,COLUMN())),OFFSET($BN$2,0,0,ROW()-1,60),ROW()-1,FALSE))</f>
        <v>0</v>
      </c>
      <c r="AG93">
        <f ca="1">IF(AND(ISNUMBER($AG$231),$B$145=1),$AG$231,HLOOKUP(INDIRECT(ADDRESS(2,COLUMN())),OFFSET($BN$2,0,0,ROW()-1,60),ROW()-1,FALSE))</f>
        <v>0</v>
      </c>
      <c r="AH93">
        <f ca="1">IF(AND(ISNUMBER($AH$231),$B$145=1),$AH$231,HLOOKUP(INDIRECT(ADDRESS(2,COLUMN())),OFFSET($BN$2,0,0,ROW()-1,60),ROW()-1,FALSE))</f>
        <v>0</v>
      </c>
      <c r="AI93">
        <f ca="1">IF(AND(ISNUMBER($AI$231),$B$145=1),$AI$231,HLOOKUP(INDIRECT(ADDRESS(2,COLUMN())),OFFSET($BN$2,0,0,ROW()-1,60),ROW()-1,FALSE))</f>
        <v>0</v>
      </c>
      <c r="AJ93">
        <f ca="1">IF(AND(ISNUMBER($AJ$231),$B$145=1),$AJ$231,HLOOKUP(INDIRECT(ADDRESS(2,COLUMN())),OFFSET($BN$2,0,0,ROW()-1,60),ROW()-1,FALSE))</f>
        <v>0</v>
      </c>
      <c r="AK93">
        <f ca="1">IF(AND(ISNUMBER($AK$231),$B$145=1),$AK$231,HLOOKUP(INDIRECT(ADDRESS(2,COLUMN())),OFFSET($BN$2,0,0,ROW()-1,60),ROW()-1,FALSE))</f>
        <v>0</v>
      </c>
      <c r="AL93">
        <f ca="1">IF(AND(ISNUMBER($AL$231),$B$145=1),$AL$231,HLOOKUP(INDIRECT(ADDRESS(2,COLUMN())),OFFSET($BN$2,0,0,ROW()-1,60),ROW()-1,FALSE))</f>
        <v>0</v>
      </c>
      <c r="AM93">
        <f ca="1">IF(AND(ISNUMBER($AM$231),$B$145=1),$AM$231,HLOOKUP(INDIRECT(ADDRESS(2,COLUMN())),OFFSET($BN$2,0,0,ROW()-1,60),ROW()-1,FALSE))</f>
        <v>0</v>
      </c>
      <c r="AN93">
        <f ca="1">IF(AND(ISNUMBER($AN$231),$B$145=1),$AN$231,HLOOKUP(INDIRECT(ADDRESS(2,COLUMN())),OFFSET($BN$2,0,0,ROW()-1,60),ROW()-1,FALSE))</f>
        <v>0</v>
      </c>
      <c r="AO93">
        <f ca="1">IF(AND(ISNUMBER($AO$231),$B$145=1),$AO$231,HLOOKUP(INDIRECT(ADDRESS(2,COLUMN())),OFFSET($BN$2,0,0,ROW()-1,60),ROW()-1,FALSE))</f>
        <v>0</v>
      </c>
      <c r="AP93">
        <f ca="1">IF(AND(ISNUMBER($AP$231),$B$145=1),$AP$231,HLOOKUP(INDIRECT(ADDRESS(2,COLUMN())),OFFSET($BN$2,0,0,ROW()-1,60),ROW()-1,FALSE))</f>
        <v>0</v>
      </c>
      <c r="AQ93">
        <f ca="1">IF(AND(ISNUMBER($AQ$231),$B$145=1),$AQ$231,HLOOKUP(INDIRECT(ADDRESS(2,COLUMN())),OFFSET($BN$2,0,0,ROW()-1,60),ROW()-1,FALSE))</f>
        <v>0</v>
      </c>
      <c r="AR93">
        <f ca="1">IF(AND(ISNUMBER($AR$231),$B$145=1),$AR$231,HLOOKUP(INDIRECT(ADDRESS(2,COLUMN())),OFFSET($BN$2,0,0,ROW()-1,60),ROW()-1,FALSE))</f>
        <v>0</v>
      </c>
      <c r="AS93">
        <f ca="1">IF(AND(ISNUMBER($AS$231),$B$145=1),$AS$231,HLOOKUP(INDIRECT(ADDRESS(2,COLUMN())),OFFSET($BN$2,0,0,ROW()-1,60),ROW()-1,FALSE))</f>
        <v>0</v>
      </c>
      <c r="AT93">
        <f ca="1">IF(AND(ISNUMBER($AT$231),$B$145=1),$AT$231,HLOOKUP(INDIRECT(ADDRESS(2,COLUMN())),OFFSET($BN$2,0,0,ROW()-1,60),ROW()-1,FALSE))</f>
        <v>0</v>
      </c>
      <c r="AU93">
        <f ca="1">IF(AND(ISNUMBER($AU$231),$B$145=1),$AU$231,HLOOKUP(INDIRECT(ADDRESS(2,COLUMN())),OFFSET($BN$2,0,0,ROW()-1,60),ROW()-1,FALSE))</f>
        <v>0</v>
      </c>
      <c r="AV93">
        <f ca="1">IF(AND(ISNUMBER($AV$231),$B$145=1),$AV$231,HLOOKUP(INDIRECT(ADDRESS(2,COLUMN())),OFFSET($BN$2,0,0,ROW()-1,60),ROW()-1,FALSE))</f>
        <v>0</v>
      </c>
      <c r="AW93">
        <f ca="1">IF(AND(ISNUMBER($AW$231),$B$145=1),$AW$231,HLOOKUP(INDIRECT(ADDRESS(2,COLUMN())),OFFSET($BN$2,0,0,ROW()-1,60),ROW()-1,FALSE))</f>
        <v>0</v>
      </c>
      <c r="AX93">
        <f ca="1">IF(AND(ISNUMBER($AX$231),$B$145=1),$AX$231,HLOOKUP(INDIRECT(ADDRESS(2,COLUMN())),OFFSET($BN$2,0,0,ROW()-1,60),ROW()-1,FALSE))</f>
        <v>0</v>
      </c>
      <c r="AY93">
        <f ca="1">IF(AND(ISNUMBER($AY$231),$B$145=1),$AY$231,HLOOKUP(INDIRECT(ADDRESS(2,COLUMN())),OFFSET($BN$2,0,0,ROW()-1,60),ROW()-1,FALSE))</f>
        <v>0</v>
      </c>
      <c r="AZ93">
        <f ca="1">IF(AND(ISNUMBER($AZ$231),$B$145=1),$AZ$231,HLOOKUP(INDIRECT(ADDRESS(2,COLUMN())),OFFSET($BN$2,0,0,ROW()-1,60),ROW()-1,FALSE))</f>
        <v>0</v>
      </c>
      <c r="BA93">
        <f ca="1">IF(AND(ISNUMBER($BA$231),$B$145=1),$BA$231,HLOOKUP(INDIRECT(ADDRESS(2,COLUMN())),OFFSET($BN$2,0,0,ROW()-1,60),ROW()-1,FALSE))</f>
        <v>0</v>
      </c>
      <c r="BB93">
        <f ca="1">IF(AND(ISNUMBER($BB$231),$B$145=1),$BB$231,HLOOKUP(INDIRECT(ADDRESS(2,COLUMN())),OFFSET($BN$2,0,0,ROW()-1,60),ROW()-1,FALSE))</f>
        <v>0</v>
      </c>
      <c r="BC93">
        <f ca="1">IF(AND(ISNUMBER($BC$231),$B$145=1),$BC$231,HLOOKUP(INDIRECT(ADDRESS(2,COLUMN())),OFFSET($BN$2,0,0,ROW()-1,60),ROW()-1,FALSE))</f>
        <v>0</v>
      </c>
      <c r="BD93">
        <f ca="1">IF(AND(ISNUMBER($BD$231),$B$145=1),$BD$231,HLOOKUP(INDIRECT(ADDRESS(2,COLUMN())),OFFSET($BN$2,0,0,ROW()-1,60),ROW()-1,FALSE))</f>
        <v>0</v>
      </c>
      <c r="BE93">
        <f ca="1">IF(AND(ISNUMBER($BE$231),$B$145=1),$BE$231,HLOOKUP(INDIRECT(ADDRESS(2,COLUMN())),OFFSET($BN$2,0,0,ROW()-1,60),ROW()-1,FALSE))</f>
        <v>0</v>
      </c>
      <c r="BF93">
        <f ca="1">IF(AND(ISNUMBER($BF$231),$B$145=1),$BF$231,HLOOKUP(INDIRECT(ADDRESS(2,COLUMN())),OFFSET($BN$2,0,0,ROW()-1,60),ROW()-1,FALSE))</f>
        <v>0</v>
      </c>
      <c r="BG93">
        <f ca="1">IF(AND(ISNUMBER($BG$231),$B$145=1),$BG$231,HLOOKUP(INDIRECT(ADDRESS(2,COLUMN())),OFFSET($BN$2,0,0,ROW()-1,60),ROW()-1,FALSE))</f>
        <v>0</v>
      </c>
      <c r="BH93">
        <f ca="1">IF(AND(ISNUMBER($BH$231),$B$145=1),$BH$231,HLOOKUP(INDIRECT(ADDRESS(2,COLUMN())),OFFSET($BN$2,0,0,ROW()-1,60),ROW()-1,FALSE))</f>
        <v>0</v>
      </c>
      <c r="BI93">
        <f ca="1">IF(AND(ISNUMBER($BI$231),$B$145=1),$BI$231,HLOOKUP(INDIRECT(ADDRESS(2,COLUMN())),OFFSET($BN$2,0,0,ROW()-1,60),ROW()-1,FALSE))</f>
        <v>0</v>
      </c>
      <c r="BJ93">
        <f ca="1">IF(AND(ISNUMBER($BJ$231),$B$145=1),$BJ$231,HLOOKUP(INDIRECT(ADDRESS(2,COLUMN())),OFFSET($BN$2,0,0,ROW()-1,60),ROW()-1,FALSE))</f>
        <v>0</v>
      </c>
      <c r="BK93">
        <f ca="1">IF(AND(ISNUMBER($BK$231),$B$145=1),$BK$231,HLOOKUP(INDIRECT(ADDRESS(2,COLUMN())),OFFSET($BN$2,0,0,ROW()-1,60),ROW()-1,FALSE))</f>
        <v>0</v>
      </c>
      <c r="BL93">
        <f ca="1">IF(AND(ISNUMBER($BL$231),$B$145=1),$BL$231,HLOOKUP(INDIRECT(ADDRESS(2,COLUMN())),OFFSET($BN$2,0,0,ROW()-1,60),ROW()-1,FALSE))</f>
        <v>0</v>
      </c>
      <c r="BM93">
        <f ca="1">IF(AND(ISNUMBER($BM$231),$B$145=1),$BM$231,HLOOKUP(INDIRECT(ADDRESS(2,COLUMN())),OFFSET($BN$2,0,0,ROW()-1,60),ROW()-1,FALSE))</f>
        <v>0</v>
      </c>
      <c r="BN93" t="str">
        <f>""</f>
        <v/>
      </c>
      <c r="BO93">
        <f>0</f>
        <v>0</v>
      </c>
      <c r="BP93">
        <f>0</f>
        <v>0</v>
      </c>
      <c r="BQ93">
        <f>0</f>
        <v>0</v>
      </c>
      <c r="BR93">
        <f>0</f>
        <v>0</v>
      </c>
      <c r="BS93">
        <f>0</f>
        <v>0</v>
      </c>
      <c r="BT93">
        <f>0</f>
        <v>0</v>
      </c>
      <c r="BU93">
        <f>0</f>
        <v>0</v>
      </c>
      <c r="BV93">
        <f>0</f>
        <v>0</v>
      </c>
      <c r="BW93">
        <f>0</f>
        <v>0</v>
      </c>
      <c r="BX93">
        <f>0</f>
        <v>0</v>
      </c>
      <c r="BY93">
        <f>0</f>
        <v>0</v>
      </c>
      <c r="BZ93">
        <f>0</f>
        <v>0</v>
      </c>
      <c r="CA93">
        <f>0</f>
        <v>0</v>
      </c>
      <c r="CB93">
        <f>0</f>
        <v>0</v>
      </c>
      <c r="CC93">
        <f>0</f>
        <v>0</v>
      </c>
      <c r="CD93">
        <f>0</f>
        <v>0</v>
      </c>
      <c r="CE93">
        <f>0</f>
        <v>0</v>
      </c>
      <c r="CF93">
        <f>0</f>
        <v>0</v>
      </c>
      <c r="CG93">
        <f>0</f>
        <v>0</v>
      </c>
      <c r="CH93">
        <f>0</f>
        <v>0</v>
      </c>
      <c r="CI93">
        <f>0</f>
        <v>0</v>
      </c>
      <c r="CJ93">
        <f>0</f>
        <v>0</v>
      </c>
      <c r="CK93">
        <f>0</f>
        <v>0</v>
      </c>
      <c r="CL93">
        <f>0</f>
        <v>0</v>
      </c>
      <c r="CM93">
        <f>0</f>
        <v>0</v>
      </c>
      <c r="CN93">
        <f>0</f>
        <v>0</v>
      </c>
      <c r="CO93">
        <f>0</f>
        <v>0</v>
      </c>
      <c r="CP93">
        <f>0</f>
        <v>0</v>
      </c>
      <c r="CQ93">
        <f>0</f>
        <v>0</v>
      </c>
      <c r="CR93">
        <f>0</f>
        <v>0</v>
      </c>
      <c r="CS93">
        <f>0</f>
        <v>0</v>
      </c>
      <c r="CT93">
        <f>0</f>
        <v>0</v>
      </c>
      <c r="CU93">
        <f>0</f>
        <v>0</v>
      </c>
      <c r="CV93">
        <f>0</f>
        <v>0</v>
      </c>
      <c r="CW93">
        <f>0</f>
        <v>0</v>
      </c>
      <c r="CX93">
        <f>0</f>
        <v>0</v>
      </c>
      <c r="CY93">
        <f>0</f>
        <v>0</v>
      </c>
      <c r="CZ93">
        <f>0</f>
        <v>0</v>
      </c>
      <c r="DA93">
        <f>0</f>
        <v>0</v>
      </c>
      <c r="DB93">
        <f>0</f>
        <v>0</v>
      </c>
      <c r="DC93">
        <f>0</f>
        <v>0</v>
      </c>
      <c r="DD93">
        <f>0</f>
        <v>0</v>
      </c>
      <c r="DE93">
        <f>0</f>
        <v>0</v>
      </c>
      <c r="DF93">
        <f>0</f>
        <v>0</v>
      </c>
      <c r="DG93">
        <f>0</f>
        <v>0</v>
      </c>
      <c r="DH93">
        <f>0</f>
        <v>0</v>
      </c>
      <c r="DI93">
        <f>0</f>
        <v>0</v>
      </c>
      <c r="DJ93">
        <f>0</f>
        <v>0</v>
      </c>
      <c r="DK93">
        <f>0</f>
        <v>0</v>
      </c>
      <c r="DL93">
        <f>0</f>
        <v>0</v>
      </c>
      <c r="DM93">
        <f>0</f>
        <v>0</v>
      </c>
      <c r="DN93">
        <f>0</f>
        <v>0</v>
      </c>
      <c r="DO93">
        <f>0</f>
        <v>0</v>
      </c>
      <c r="DP93">
        <f>0</f>
        <v>0</v>
      </c>
      <c r="DQ93">
        <f>0</f>
        <v>0</v>
      </c>
      <c r="DR93">
        <f>0</f>
        <v>0</v>
      </c>
      <c r="DS93">
        <f>0</f>
        <v>0</v>
      </c>
      <c r="DT93">
        <f>0</f>
        <v>0</v>
      </c>
      <c r="DU93">
        <f>0</f>
        <v>0</v>
      </c>
    </row>
    <row r="94" spans="1:125" x14ac:dyDescent="0.25">
      <c r="A94" t="str">
        <f>"            East West Bancorp Inc"</f>
        <v xml:space="preserve">            East West Bancorp Inc</v>
      </c>
      <c r="B94" t="str">
        <f>"EWBC US Equity"</f>
        <v>EWBC US Equity</v>
      </c>
      <c r="C94" t="str">
        <f t="shared" si="12"/>
        <v>FR531</v>
      </c>
      <c r="D94" t="str">
        <f t="shared" si="13"/>
        <v>FED_INVT_IN_RE_VENTURES</v>
      </c>
      <c r="E94" t="str">
        <f t="shared" si="14"/>
        <v>Dynamic</v>
      </c>
      <c r="F94">
        <f ca="1">IF(AND(ISNUMBER($F$232),$B$145=1),$F$232,HLOOKUP(INDIRECT(ADDRESS(2,COLUMN())),OFFSET($BN$2,0,0,ROW()-1,60),ROW()-1,FALSE))</f>
        <v>547.35900000000004</v>
      </c>
      <c r="G94">
        <f ca="1">IF(AND(ISNUMBER($G$232),$B$145=1),$G$232,HLOOKUP(INDIRECT(ADDRESS(2,COLUMN())),OFFSET($BN$2,0,0,ROW()-1,60),ROW()-1,FALSE))</f>
        <v>531.98199999999997</v>
      </c>
      <c r="H94">
        <f ca="1">IF(AND(ISNUMBER($H$232),$B$145=1),$H$232,HLOOKUP(INDIRECT(ADDRESS(2,COLUMN())),OFFSET($BN$2,0,0,ROW()-1,60),ROW()-1,FALSE))</f>
        <v>529.26700000000005</v>
      </c>
      <c r="I94">
        <f ca="1">IF(AND(ISNUMBER($I$232),$B$145=1),$I$232,HLOOKUP(INDIRECT(ADDRESS(2,COLUMN())),OFFSET($BN$2,0,0,ROW()-1,60),ROW()-1,FALSE))</f>
        <v>489.02199999999999</v>
      </c>
      <c r="J94">
        <f ca="1">IF(AND(ISNUMBER($J$232),$B$145=1),$J$232,HLOOKUP(INDIRECT(ADDRESS(2,COLUMN())),OFFSET($BN$2,0,0,ROW()-1,60),ROW()-1,FALSE))</f>
        <v>478.50599999999997</v>
      </c>
      <c r="K94">
        <f ca="1">IF(AND(ISNUMBER($K$232),$B$145=1),$K$232,HLOOKUP(INDIRECT(ADDRESS(2,COLUMN())),OFFSET($BN$2,0,0,ROW()-1,60),ROW()-1,FALSE))</f>
        <v>472.44299999999998</v>
      </c>
      <c r="L94">
        <f ca="1">IF(AND(ISNUMBER($L$232),$B$145=1),$L$232,HLOOKUP(INDIRECT(ADDRESS(2,COLUMN())),OFFSET($BN$2,0,0,ROW()-1,60),ROW()-1,FALSE))</f>
        <v>485.37099999999998</v>
      </c>
      <c r="M94">
        <f ca="1">IF(AND(ISNUMBER($M$232),$B$145=1),$M$232,HLOOKUP(INDIRECT(ADDRESS(2,COLUMN())),OFFSET($BN$2,0,0,ROW()-1,60),ROW()-1,FALSE))</f>
        <v>456.315</v>
      </c>
      <c r="N94">
        <f ca="1">IF(AND(ISNUMBER($N$232),$B$145=1),$N$232,HLOOKUP(INDIRECT(ADDRESS(2,COLUMN())),OFFSET($BN$2,0,0,ROW()-1,60),ROW()-1,FALSE))</f>
        <v>472.02100000000002</v>
      </c>
      <c r="O94">
        <f ca="1">IF(AND(ISNUMBER($O$232),$B$145=1),$O$232,HLOOKUP(INDIRECT(ADDRESS(2,COLUMN())),OFFSET($BN$2,0,0,ROW()-1,60),ROW()-1,FALSE))</f>
        <v>475.298</v>
      </c>
      <c r="P94">
        <f ca="1">IF(AND(ISNUMBER($P$232),$B$145=1),$P$232,HLOOKUP(INDIRECT(ADDRESS(2,COLUMN())),OFFSET($BN$2,0,0,ROW()-1,60),ROW()-1,FALSE))</f>
        <v>398.84300000000002</v>
      </c>
      <c r="Q94">
        <f ca="1">IF(AND(ISNUMBER($Q$232),$B$145=1),$Q$232,HLOOKUP(INDIRECT(ADDRESS(2,COLUMN())),OFFSET($BN$2,0,0,ROW()-1,60),ROW()-1,FALSE))</f>
        <v>375.33499999999998</v>
      </c>
      <c r="R94">
        <f ca="1">IF(AND(ISNUMBER($R$232),$B$145=1),$R$232,HLOOKUP(INDIRECT(ADDRESS(2,COLUMN())),OFFSET($BN$2,0,0,ROW()-1,60),ROW()-1,FALSE))</f>
        <v>383.84100000000001</v>
      </c>
      <c r="S94">
        <f ca="1">IF(AND(ISNUMBER($S$232),$B$145=1),$S$232,HLOOKUP(INDIRECT(ADDRESS(2,COLUMN())),OFFSET($BN$2,0,0,ROW()-1,60),ROW()-1,FALSE))</f>
        <v>397.77600000000001</v>
      </c>
      <c r="T94">
        <f ca="1">IF(AND(ISNUMBER($T$232),$B$145=1),$T$232,HLOOKUP(INDIRECT(ADDRESS(2,COLUMN())),OFFSET($BN$2,0,0,ROW()-1,60),ROW()-1,FALSE))</f>
        <v>388.24</v>
      </c>
      <c r="U94">
        <f ca="1">IF(AND(ISNUMBER($U$232),$B$145=1),$U$232,HLOOKUP(INDIRECT(ADDRESS(2,COLUMN())),OFFSET($BN$2,0,0,ROW()-1,60),ROW()-1,FALSE))</f>
        <v>383.26600000000002</v>
      </c>
      <c r="V94">
        <f ca="1">IF(AND(ISNUMBER($V$232),$B$145=1),$V$232,HLOOKUP(INDIRECT(ADDRESS(2,COLUMN())),OFFSET($BN$2,0,0,ROW()-1,60),ROW()-1,FALSE))</f>
        <v>286.565</v>
      </c>
      <c r="W94">
        <f ca="1">IF(AND(ISNUMBER($W$232),$B$145=1),$W$232,HLOOKUP(INDIRECT(ADDRESS(2,COLUMN())),OFFSET($BN$2,0,0,ROW()-1,60),ROW()-1,FALSE))</f>
        <v>257.99900000000002</v>
      </c>
      <c r="X94">
        <f ca="1">IF(AND(ISNUMBER($X$232),$B$145=1),$X$232,HLOOKUP(INDIRECT(ADDRESS(2,COLUMN())),OFFSET($BN$2,0,0,ROW()-1,60),ROW()-1,FALSE))</f>
        <v>274.82499999999999</v>
      </c>
      <c r="Y94">
        <f ca="1">IF(AND(ISNUMBER($Y$232),$B$145=1),$Y$232,HLOOKUP(INDIRECT(ADDRESS(2,COLUMN())),OFFSET($BN$2,0,0,ROW()-1,60),ROW()-1,FALSE))</f>
        <v>276.55900000000003</v>
      </c>
      <c r="Z94">
        <f ca="1">IF(AND(ISNUMBER($Z$232),$B$145=1),$Z$232,HLOOKUP(INDIRECT(ADDRESS(2,COLUMN())),OFFSET($BN$2,0,0,ROW()-1,60),ROW()-1,FALSE))</f>
        <v>274.73899999999998</v>
      </c>
      <c r="AA94">
        <f ca="1">IF(AND(ISNUMBER($AA$232),$B$145=1),$AA$232,HLOOKUP(INDIRECT(ADDRESS(2,COLUMN())),OFFSET($BN$2,0,0,ROW()-1,60),ROW()-1,FALSE))</f>
        <v>243.93299999999999</v>
      </c>
      <c r="AB94">
        <f ca="1">IF(AND(ISNUMBER($AB$232),$B$145=1),$AB$232,HLOOKUP(INDIRECT(ADDRESS(2,COLUMN())),OFFSET($BN$2,0,0,ROW()-1,60),ROW()-1,FALSE))</f>
        <v>260.197</v>
      </c>
      <c r="AC94">
        <f ca="1">IF(AND(ISNUMBER($AC$232),$B$145=1),$AC$232,HLOOKUP(INDIRECT(ADDRESS(2,COLUMN())),OFFSET($BN$2,0,0,ROW()-1,60),ROW()-1,FALSE))</f>
        <v>267.55500000000001</v>
      </c>
      <c r="AD94">
        <f ca="1">IF(AND(ISNUMBER($AD$232),$B$145=1),$AD$232,HLOOKUP(INDIRECT(ADDRESS(2,COLUMN())),OFFSET($BN$2,0,0,ROW()-1,60),ROW()-1,FALSE))</f>
        <v>262.154</v>
      </c>
      <c r="AE94">
        <f ca="1">IF(AND(ISNUMBER($AE$232),$B$145=1),$AE$232,HLOOKUP(INDIRECT(ADDRESS(2,COLUMN())),OFFSET($BN$2,0,0,ROW()-1,60),ROW()-1,FALSE))</f>
        <v>232.358</v>
      </c>
      <c r="AF94">
        <f ca="1">IF(AND(ISNUMBER($AF$232),$B$145=1),$AF$232,HLOOKUP(INDIRECT(ADDRESS(2,COLUMN())),OFFSET($BN$2,0,0,ROW()-1,60),ROW()-1,FALSE))</f>
        <v>239.12200000000001</v>
      </c>
      <c r="AG94">
        <f ca="1">IF(AND(ISNUMBER($AG$232),$B$145=1),$AG$232,HLOOKUP(INDIRECT(ADDRESS(2,COLUMN())),OFFSET($BN$2,0,0,ROW()-1,60),ROW()-1,FALSE))</f>
        <v>245.55699999999999</v>
      </c>
      <c r="AH94">
        <f ca="1">IF(AND(ISNUMBER($AH$232),$B$145=1),$AH$232,HLOOKUP(INDIRECT(ADDRESS(2,COLUMN())),OFFSET($BN$2,0,0,ROW()-1,60),ROW()-1,FALSE))</f>
        <v>253.05500000000001</v>
      </c>
      <c r="AI94">
        <f ca="1">IF(AND(ISNUMBER($AI$232),$B$145=1),$AI$232,HLOOKUP(INDIRECT(ADDRESS(2,COLUMN())),OFFSET($BN$2,0,0,ROW()-1,60),ROW()-1,FALSE))</f>
        <v>261.13799999999998</v>
      </c>
      <c r="AJ94">
        <f ca="1">IF(AND(ISNUMBER($AJ$232),$B$145=1),$AJ$232,HLOOKUP(INDIRECT(ADDRESS(2,COLUMN())),OFFSET($BN$2,0,0,ROW()-1,60),ROW()-1,FALSE))</f>
        <v>240.017</v>
      </c>
      <c r="AK94">
        <f ca="1">IF(AND(ISNUMBER($AK$232),$B$145=1),$AK$232,HLOOKUP(INDIRECT(ADDRESS(2,COLUMN())),OFFSET($BN$2,0,0,ROW()-1,60),ROW()-1,FALSE))</f>
        <v>249.87899999999999</v>
      </c>
      <c r="AL94">
        <f ca="1">IF(AND(ISNUMBER($AL$232),$B$145=1),$AL$232,HLOOKUP(INDIRECT(ADDRESS(2,COLUMN())),OFFSET($BN$2,0,0,ROW()-1,60),ROW()-1,FALSE))</f>
        <v>254.75899999999999</v>
      </c>
      <c r="AM94">
        <f ca="1">IF(AND(ISNUMBER($AM$232),$B$145=1),$AM$232,HLOOKUP(INDIRECT(ADDRESS(2,COLUMN())),OFFSET($BN$2,0,0,ROW()-1,60),ROW()-1,FALSE))</f>
        <v>237.28700000000001</v>
      </c>
      <c r="AN94">
        <f ca="1">IF(AND(ISNUMBER($AN$232),$B$145=1),$AN$232,HLOOKUP(INDIRECT(ADDRESS(2,COLUMN())),OFFSET($BN$2,0,0,ROW()-1,60),ROW()-1,FALSE))</f>
        <v>251.93</v>
      </c>
      <c r="AO94">
        <f ca="1">IF(AND(ISNUMBER($AO$232),$B$145=1),$AO$232,HLOOKUP(INDIRECT(ADDRESS(2,COLUMN())),OFFSET($BN$2,0,0,ROW()-1,60),ROW()-1,FALSE))</f>
        <v>253.77199999999999</v>
      </c>
      <c r="AP94">
        <f ca="1">IF(AND(ISNUMBER($AP$232),$B$145=1),$AP$232,HLOOKUP(INDIRECT(ADDRESS(2,COLUMN())),OFFSET($BN$2,0,0,ROW()-1,60),ROW()-1,FALSE))</f>
        <v>262.34800000000001</v>
      </c>
      <c r="AQ94">
        <f ca="1">IF(AND(ISNUMBER($AQ$232),$B$145=1),$AQ$232,HLOOKUP(INDIRECT(ADDRESS(2,COLUMN())),OFFSET($BN$2,0,0,ROW()-1,60),ROW()-1,FALSE))</f>
        <v>213.648</v>
      </c>
      <c r="AR94">
        <f ca="1">IF(AND(ISNUMBER($AR$232),$B$145=1),$AR$232,HLOOKUP(INDIRECT(ADDRESS(2,COLUMN())),OFFSET($BN$2,0,0,ROW()-1,60),ROW()-1,FALSE))</f>
        <v>216.488</v>
      </c>
      <c r="AS94">
        <f ca="1">IF(AND(ISNUMBER($AS$232),$B$145=1),$AS$232,HLOOKUP(INDIRECT(ADDRESS(2,COLUMN())),OFFSET($BN$2,0,0,ROW()-1,60),ROW()-1,FALSE))</f>
        <v>204.61600000000001</v>
      </c>
      <c r="AT94">
        <f ca="1">IF(AND(ISNUMBER($AT$232),$B$145=1),$AT$232,HLOOKUP(INDIRECT(ADDRESS(2,COLUMN())),OFFSET($BN$2,0,0,ROW()-1,60),ROW()-1,FALSE))</f>
        <v>180.33500000000001</v>
      </c>
      <c r="AU94">
        <f ca="1">IF(AND(ISNUMBER($AU$232),$B$145=1),$AU$232,HLOOKUP(INDIRECT(ADDRESS(2,COLUMN())),OFFSET($BN$2,0,0,ROW()-1,60),ROW()-1,FALSE))</f>
        <v>181.648</v>
      </c>
      <c r="AV94">
        <f ca="1">IF(AND(ISNUMBER($AV$232),$B$145=1),$AV$232,HLOOKUP(INDIRECT(ADDRESS(2,COLUMN())),OFFSET($BN$2,0,0,ROW()-1,60),ROW()-1,FALSE))</f>
        <v>184.053</v>
      </c>
      <c r="AW94">
        <f ca="1">IF(AND(ISNUMBER($AW$232),$B$145=1),$AW$232,HLOOKUP(INDIRECT(ADDRESS(2,COLUMN())),OFFSET($BN$2,0,0,ROW()-1,60),ROW()-1,FALSE))</f>
        <v>191.553</v>
      </c>
      <c r="AX94">
        <f ca="1">IF(AND(ISNUMBER($AX$232),$B$145=1),$AX$232,HLOOKUP(INDIRECT(ADDRESS(2,COLUMN())),OFFSET($BN$2,0,0,ROW()-1,60),ROW()-1,FALSE))</f>
        <v>167.02699999999999</v>
      </c>
      <c r="AY94">
        <f ca="1">IF(AND(ISNUMBER($AY$232),$B$145=1),$AY$232,HLOOKUP(INDIRECT(ADDRESS(2,COLUMN())),OFFSET($BN$2,0,0,ROW()-1,60),ROW()-1,FALSE))</f>
        <v>170.92400000000001</v>
      </c>
      <c r="AZ94">
        <f ca="1">IF(AND(ISNUMBER($AZ$232),$B$145=1),$AZ$232,HLOOKUP(INDIRECT(ADDRESS(2,COLUMN())),OFFSET($BN$2,0,0,ROW()-1,60),ROW()-1,FALSE))</f>
        <v>175.95</v>
      </c>
      <c r="BA94">
        <f ca="1">IF(AND(ISNUMBER($BA$232),$B$145=1),$BA$232,HLOOKUP(INDIRECT(ADDRESS(2,COLUMN())),OFFSET($BN$2,0,0,ROW()-1,60),ROW()-1,FALSE))</f>
        <v>181.42400000000001</v>
      </c>
      <c r="BB94">
        <f ca="1">IF(AND(ISNUMBER($BB$232),$B$145=1),$BB$232,HLOOKUP(INDIRECT(ADDRESS(2,COLUMN())),OFFSET($BN$2,0,0,ROW()-1,60),ROW()-1,FALSE))</f>
        <v>185.18100000000001</v>
      </c>
      <c r="BC94">
        <f ca="1">IF(AND(ISNUMBER($BC$232),$B$145=1),$BC$232,HLOOKUP(INDIRECT(ADDRESS(2,COLUMN())),OFFSET($BN$2,0,0,ROW()-1,60),ROW()-1,FALSE))</f>
        <v>178.096</v>
      </c>
      <c r="BD94">
        <f ca="1">IF(AND(ISNUMBER($BD$232),$B$145=1),$BD$232,HLOOKUP(INDIRECT(ADDRESS(2,COLUMN())),OFFSET($BN$2,0,0,ROW()-1,60),ROW()-1,FALSE))</f>
        <v>180.87100000000001</v>
      </c>
      <c r="BE94">
        <f ca="1">IF(AND(ISNUMBER($BE$232),$B$145=1),$BE$232,HLOOKUP(INDIRECT(ADDRESS(2,COLUMN())),OFFSET($BN$2,0,0,ROW()-1,60),ROW()-1,FALSE))</f>
        <v>159.691</v>
      </c>
      <c r="BF94">
        <f ca="1">IF(AND(ISNUMBER($BF$232),$B$145=1),$BF$232,HLOOKUP(INDIRECT(ADDRESS(2,COLUMN())),OFFSET($BN$2,0,0,ROW()-1,60),ROW()-1,FALSE))</f>
        <v>143.46100000000001</v>
      </c>
      <c r="BG94">
        <f ca="1">IF(AND(ISNUMBER($BG$232),$B$145=1),$BG$232,HLOOKUP(INDIRECT(ADDRESS(2,COLUMN())),OFFSET($BN$2,0,0,ROW()-1,60),ROW()-1,FALSE))</f>
        <v>171.47900000000001</v>
      </c>
      <c r="BH94">
        <f ca="1">IF(AND(ISNUMBER($BH$232),$B$145=1),$BH$232,HLOOKUP(INDIRECT(ADDRESS(2,COLUMN())),OFFSET($BN$2,0,0,ROW()-1,60),ROW()-1,FALSE))</f>
        <v>176.52</v>
      </c>
      <c r="BI94">
        <f ca="1">IF(AND(ISNUMBER($BI$232),$B$145=1),$BI$232,HLOOKUP(INDIRECT(ADDRESS(2,COLUMN())),OFFSET($BN$2,0,0,ROW()-1,60),ROW()-1,FALSE))</f>
        <v>57.863</v>
      </c>
      <c r="BJ94">
        <f ca="1">IF(AND(ISNUMBER($BJ$232),$B$145=1),$BJ$232,HLOOKUP(INDIRECT(ADDRESS(2,COLUMN())),OFFSET($BN$2,0,0,ROW()-1,60),ROW()-1,FALSE))</f>
        <v>37.712000000000003</v>
      </c>
      <c r="BK94">
        <f ca="1">IF(AND(ISNUMBER($BK$232),$B$145=1),$BK$232,HLOOKUP(INDIRECT(ADDRESS(2,COLUMN())),OFFSET($BN$2,0,0,ROW()-1,60),ROW()-1,FALSE))</f>
        <v>38.732999999999997</v>
      </c>
      <c r="BL94">
        <f ca="1">IF(AND(ISNUMBER($BL$232),$B$145=1),$BL$232,HLOOKUP(INDIRECT(ADDRESS(2,COLUMN())),OFFSET($BN$2,0,0,ROW()-1,60),ROW()-1,FALSE))</f>
        <v>84.521000000000001</v>
      </c>
      <c r="BM94" t="str">
        <f ca="1">IF(AND(ISNUMBER($BM$232),$B$145=1),$BM$232,HLOOKUP(INDIRECT(ADDRESS(2,COLUMN())),OFFSET($BN$2,0,0,ROW()-1,60),ROW()-1,FALSE))</f>
        <v/>
      </c>
      <c r="BN94">
        <f>547.359</f>
        <v>547.35900000000004</v>
      </c>
      <c r="BO94">
        <f>531.982</f>
        <v>531.98199999999997</v>
      </c>
      <c r="BP94">
        <f>529.267</f>
        <v>529.26700000000005</v>
      </c>
      <c r="BQ94">
        <f>489.022</f>
        <v>489.02199999999999</v>
      </c>
      <c r="BR94">
        <f>478.506</f>
        <v>478.50599999999997</v>
      </c>
      <c r="BS94">
        <f>472.443</f>
        <v>472.44299999999998</v>
      </c>
      <c r="BT94">
        <f>485.371</f>
        <v>485.37099999999998</v>
      </c>
      <c r="BU94">
        <f>456.315</f>
        <v>456.315</v>
      </c>
      <c r="BV94">
        <f>472.021</f>
        <v>472.02100000000002</v>
      </c>
      <c r="BW94">
        <f>475.298</f>
        <v>475.298</v>
      </c>
      <c r="BX94">
        <f>398.843</f>
        <v>398.84300000000002</v>
      </c>
      <c r="BY94">
        <f>375.335</f>
        <v>375.33499999999998</v>
      </c>
      <c r="BZ94">
        <f>383.841</f>
        <v>383.84100000000001</v>
      </c>
      <c r="CA94">
        <f>397.776</f>
        <v>397.77600000000001</v>
      </c>
      <c r="CB94">
        <f>388.24</f>
        <v>388.24</v>
      </c>
      <c r="CC94">
        <f>383.266</f>
        <v>383.26600000000002</v>
      </c>
      <c r="CD94">
        <f>286.565</f>
        <v>286.565</v>
      </c>
      <c r="CE94">
        <f>257.999</f>
        <v>257.99900000000002</v>
      </c>
      <c r="CF94">
        <f>274.825</f>
        <v>274.82499999999999</v>
      </c>
      <c r="CG94">
        <f>276.559</f>
        <v>276.55900000000003</v>
      </c>
      <c r="CH94">
        <f>274.739</f>
        <v>274.73899999999998</v>
      </c>
      <c r="CI94">
        <f>243.933</f>
        <v>243.93299999999999</v>
      </c>
      <c r="CJ94">
        <f>260.197</f>
        <v>260.197</v>
      </c>
      <c r="CK94">
        <f>267.555</f>
        <v>267.55500000000001</v>
      </c>
      <c r="CL94">
        <f>262.154</f>
        <v>262.154</v>
      </c>
      <c r="CM94">
        <f>232.358</f>
        <v>232.358</v>
      </c>
      <c r="CN94">
        <f>239.122</f>
        <v>239.12200000000001</v>
      </c>
      <c r="CO94">
        <f>245.557</f>
        <v>245.55699999999999</v>
      </c>
      <c r="CP94">
        <f>253.055</f>
        <v>253.05500000000001</v>
      </c>
      <c r="CQ94">
        <f>261.138</f>
        <v>261.13799999999998</v>
      </c>
      <c r="CR94">
        <f>240.017</f>
        <v>240.017</v>
      </c>
      <c r="CS94">
        <f>249.879</f>
        <v>249.87899999999999</v>
      </c>
      <c r="CT94">
        <f>254.759</f>
        <v>254.75899999999999</v>
      </c>
      <c r="CU94">
        <f>237.287</f>
        <v>237.28700000000001</v>
      </c>
      <c r="CV94">
        <f>251.93</f>
        <v>251.93</v>
      </c>
      <c r="CW94">
        <f>253.772</f>
        <v>253.77199999999999</v>
      </c>
      <c r="CX94">
        <f>262.348</f>
        <v>262.34800000000001</v>
      </c>
      <c r="CY94">
        <f>213.648</f>
        <v>213.648</v>
      </c>
      <c r="CZ94">
        <f>216.488</f>
        <v>216.488</v>
      </c>
      <c r="DA94">
        <f>204.616</f>
        <v>204.61600000000001</v>
      </c>
      <c r="DB94">
        <f>180.335</f>
        <v>180.33500000000001</v>
      </c>
      <c r="DC94">
        <f>181.648</f>
        <v>181.648</v>
      </c>
      <c r="DD94">
        <f>184.053</f>
        <v>184.053</v>
      </c>
      <c r="DE94">
        <f>191.553</f>
        <v>191.553</v>
      </c>
      <c r="DF94">
        <f>167.027</f>
        <v>167.02699999999999</v>
      </c>
      <c r="DG94">
        <f>170.924</f>
        <v>170.92400000000001</v>
      </c>
      <c r="DH94">
        <f>175.95</f>
        <v>175.95</v>
      </c>
      <c r="DI94">
        <f>181.424</f>
        <v>181.42400000000001</v>
      </c>
      <c r="DJ94">
        <f>185.181</f>
        <v>185.18100000000001</v>
      </c>
      <c r="DK94">
        <f>178.096</f>
        <v>178.096</v>
      </c>
      <c r="DL94">
        <f>180.871</f>
        <v>180.87100000000001</v>
      </c>
      <c r="DM94">
        <f>159.691</f>
        <v>159.691</v>
      </c>
      <c r="DN94">
        <f>143.461</f>
        <v>143.46100000000001</v>
      </c>
      <c r="DO94">
        <f>171.479</f>
        <v>171.47900000000001</v>
      </c>
      <c r="DP94">
        <f>176.52</f>
        <v>176.52</v>
      </c>
      <c r="DQ94">
        <f>57.863</f>
        <v>57.863</v>
      </c>
      <c r="DR94">
        <f>37.712</f>
        <v>37.712000000000003</v>
      </c>
      <c r="DS94">
        <f>38.733</f>
        <v>38.732999999999997</v>
      </c>
      <c r="DT94">
        <f>84.521</f>
        <v>84.521000000000001</v>
      </c>
      <c r="DU94" t="str">
        <f>""</f>
        <v/>
      </c>
    </row>
    <row r="95" spans="1:125" x14ac:dyDescent="0.25">
      <c r="A95" t="str">
        <f>"            Fifth Third Bancorp"</f>
        <v xml:space="preserve">            Fifth Third Bancorp</v>
      </c>
      <c r="B95" t="str">
        <f>"FITB US Equity"</f>
        <v>FITB US Equity</v>
      </c>
      <c r="C95" t="str">
        <f t="shared" si="12"/>
        <v>FR531</v>
      </c>
      <c r="D95" t="str">
        <f t="shared" si="13"/>
        <v>FED_INVT_IN_RE_VENTURES</v>
      </c>
      <c r="E95" t="str">
        <f t="shared" si="14"/>
        <v>Dynamic</v>
      </c>
      <c r="F95">
        <f ca="1">IF(AND(ISNUMBER($F$233),$B$145=1),$F$233,HLOOKUP(INDIRECT(ADDRESS(2,COLUMN())),OFFSET($BN$2,0,0,ROW()-1,60),ROW()-1,FALSE))</f>
        <v>1975</v>
      </c>
      <c r="G95">
        <f ca="1">IF(AND(ISNUMBER($G$233),$B$145=1),$G$233,HLOOKUP(INDIRECT(ADDRESS(2,COLUMN())),OFFSET($BN$2,0,0,ROW()-1,60),ROW()-1,FALSE))</f>
        <v>1932</v>
      </c>
      <c r="H95">
        <f ca="1">IF(AND(ISNUMBER($H$233),$B$145=1),$H$233,HLOOKUP(INDIRECT(ADDRESS(2,COLUMN())),OFFSET($BN$2,0,0,ROW()-1,60),ROW()-1,FALSE))</f>
        <v>1927</v>
      </c>
      <c r="I95">
        <f ca="1">IF(AND(ISNUMBER($I$233),$B$145=1),$I$233,HLOOKUP(INDIRECT(ADDRESS(2,COLUMN())),OFFSET($BN$2,0,0,ROW()-1,60),ROW()-1,FALSE))</f>
        <v>1789</v>
      </c>
      <c r="J95">
        <f ca="1">IF(AND(ISNUMBER($J$233),$B$145=1),$J$233,HLOOKUP(INDIRECT(ADDRESS(2,COLUMN())),OFFSET($BN$2,0,0,ROW()-1,60),ROW()-1,FALSE))</f>
        <v>1799</v>
      </c>
      <c r="K95">
        <f ca="1">IF(AND(ISNUMBER($K$233),$B$145=1),$K$233,HLOOKUP(INDIRECT(ADDRESS(2,COLUMN())),OFFSET($BN$2,0,0,ROW()-1,60),ROW()-1,FALSE))</f>
        <v>1747</v>
      </c>
      <c r="L95">
        <f ca="1">IF(AND(ISNUMBER($L$233),$B$145=1),$L$233,HLOOKUP(INDIRECT(ADDRESS(2,COLUMN())),OFFSET($BN$2,0,0,ROW()-1,60),ROW()-1,FALSE))</f>
        <v>1739</v>
      </c>
      <c r="M95">
        <f ca="1">IF(AND(ISNUMBER($M$233),$B$145=1),$M$233,HLOOKUP(INDIRECT(ADDRESS(2,COLUMN())),OFFSET($BN$2,0,0,ROW()-1,60),ROW()-1,FALSE))</f>
        <v>1730</v>
      </c>
      <c r="N95">
        <f ca="1">IF(AND(ISNUMBER($N$233),$B$145=1),$N$233,HLOOKUP(INDIRECT(ADDRESS(2,COLUMN())),OFFSET($BN$2,0,0,ROW()-1,60),ROW()-1,FALSE))</f>
        <v>1693.4860000000001</v>
      </c>
      <c r="O95">
        <f ca="1">IF(AND(ISNUMBER($O$233),$B$145=1),$O$233,HLOOKUP(INDIRECT(ADDRESS(2,COLUMN())),OFFSET($BN$2,0,0,ROW()-1,60),ROW()-1,FALSE))</f>
        <v>1625.5989999999999</v>
      </c>
      <c r="P95">
        <f ca="1">IF(AND(ISNUMBER($P$233),$B$145=1),$P$233,HLOOKUP(INDIRECT(ADDRESS(2,COLUMN())),OFFSET($BN$2,0,0,ROW()-1,60),ROW()-1,FALSE))</f>
        <v>1595.6759999999999</v>
      </c>
      <c r="Q95">
        <f ca="1">IF(AND(ISNUMBER($Q$233),$B$145=1),$Q$233,HLOOKUP(INDIRECT(ADDRESS(2,COLUMN())),OFFSET($BN$2,0,0,ROW()-1,60),ROW()-1,FALSE))</f>
        <v>1547.973</v>
      </c>
      <c r="R95">
        <f ca="1">IF(AND(ISNUMBER($R$233),$B$145=1),$R$233,HLOOKUP(INDIRECT(ADDRESS(2,COLUMN())),OFFSET($BN$2,0,0,ROW()-1,60),ROW()-1,FALSE))</f>
        <v>1582.0809999999999</v>
      </c>
      <c r="S95">
        <f ca="1">IF(AND(ISNUMBER($S$233),$B$145=1),$S$233,HLOOKUP(INDIRECT(ADDRESS(2,COLUMN())),OFFSET($BN$2,0,0,ROW()-1,60),ROW()-1,FALSE))</f>
        <v>1536.1420000000001</v>
      </c>
      <c r="T95">
        <f ca="1">IF(AND(ISNUMBER($T$233),$B$145=1),$T$233,HLOOKUP(INDIRECT(ADDRESS(2,COLUMN())),OFFSET($BN$2,0,0,ROW()-1,60),ROW()-1,FALSE))</f>
        <v>1539.12</v>
      </c>
      <c r="U95">
        <f ca="1">IF(AND(ISNUMBER($U$233),$B$145=1),$U$233,HLOOKUP(INDIRECT(ADDRESS(2,COLUMN())),OFFSET($BN$2,0,0,ROW()-1,60),ROW()-1,FALSE))</f>
        <v>1150.7529999999999</v>
      </c>
      <c r="V95">
        <f ca="1">IF(AND(ISNUMBER($V$233),$B$145=1),$V$233,HLOOKUP(INDIRECT(ADDRESS(2,COLUMN())),OFFSET($BN$2,0,0,ROW()-1,60),ROW()-1,FALSE))</f>
        <v>1139.279</v>
      </c>
      <c r="W95">
        <f ca="1">IF(AND(ISNUMBER($W$233),$B$145=1),$W$233,HLOOKUP(INDIRECT(ADDRESS(2,COLUMN())),OFFSET($BN$2,0,0,ROW()-1,60),ROW()-1,FALSE))</f>
        <v>1078.1579999999999</v>
      </c>
      <c r="X95">
        <f ca="1">IF(AND(ISNUMBER($X$233),$B$145=1),$X$233,HLOOKUP(INDIRECT(ADDRESS(2,COLUMN())),OFFSET($BN$2,0,0,ROW()-1,60),ROW()-1,FALSE))</f>
        <v>1049.2190000000001</v>
      </c>
      <c r="Y95">
        <f ca="1">IF(AND(ISNUMBER($Y$233),$B$145=1),$Y$233,HLOOKUP(INDIRECT(ADDRESS(2,COLUMN())),OFFSET($BN$2,0,0,ROW()-1,60),ROW()-1,FALSE))</f>
        <v>1073.2449999999999</v>
      </c>
      <c r="Z95">
        <f ca="1">IF(AND(ISNUMBER($Z$233),$B$145=1),$Z$233,HLOOKUP(INDIRECT(ADDRESS(2,COLUMN())),OFFSET($BN$2,0,0,ROW()-1,60),ROW()-1,FALSE))</f>
        <v>1172.384</v>
      </c>
      <c r="AA95">
        <f ca="1">IF(AND(ISNUMBER($AA$233),$B$145=1),$AA$233,HLOOKUP(INDIRECT(ADDRESS(2,COLUMN())),OFFSET($BN$2,0,0,ROW()-1,60),ROW()-1,FALSE))</f>
        <v>1054.451</v>
      </c>
      <c r="AB95">
        <f ca="1">IF(AND(ISNUMBER($AB$233),$B$145=1),$AB$233,HLOOKUP(INDIRECT(ADDRESS(2,COLUMN())),OFFSET($BN$2,0,0,ROW()-1,60),ROW()-1,FALSE))</f>
        <v>927.69200000000001</v>
      </c>
      <c r="AC95">
        <f ca="1">IF(AND(ISNUMBER($AC$233),$B$145=1),$AC$233,HLOOKUP(INDIRECT(ADDRESS(2,COLUMN())),OFFSET($BN$2,0,0,ROW()-1,60),ROW()-1,FALSE))</f>
        <v>833.226</v>
      </c>
      <c r="AD95">
        <f ca="1">IF(AND(ISNUMBER($AD$233),$B$145=1),$AD$233,HLOOKUP(INDIRECT(ADDRESS(2,COLUMN())),OFFSET($BN$2,0,0,ROW()-1,60),ROW()-1,FALSE))</f>
        <v>844.52200000000005</v>
      </c>
      <c r="AE95">
        <f ca="1">IF(AND(ISNUMBER($AE$233),$B$145=1),$AE$233,HLOOKUP(INDIRECT(ADDRESS(2,COLUMN())),OFFSET($BN$2,0,0,ROW()-1,60),ROW()-1,FALSE))</f>
        <v>892.72</v>
      </c>
      <c r="AF95">
        <f ca="1">IF(AND(ISNUMBER($AF$233),$B$145=1),$AF$233,HLOOKUP(INDIRECT(ADDRESS(2,COLUMN())),OFFSET($BN$2,0,0,ROW()-1,60),ROW()-1,FALSE))</f>
        <v>894.005</v>
      </c>
      <c r="AG95">
        <f ca="1">IF(AND(ISNUMBER($AG$233),$B$145=1),$AG$233,HLOOKUP(INDIRECT(ADDRESS(2,COLUMN())),OFFSET($BN$2,0,0,ROW()-1,60),ROW()-1,FALSE))</f>
        <v>1016.759</v>
      </c>
      <c r="AH95">
        <f ca="1">IF(AND(ISNUMBER($AH$233),$B$145=1),$AH$233,HLOOKUP(INDIRECT(ADDRESS(2,COLUMN())),OFFSET($BN$2,0,0,ROW()-1,60),ROW()-1,FALSE))</f>
        <v>1314.904</v>
      </c>
      <c r="AI95">
        <f ca="1">IF(AND(ISNUMBER($AI$233),$B$145=1),$AI$233,HLOOKUP(INDIRECT(ADDRESS(2,COLUMN())),OFFSET($BN$2,0,0,ROW()-1,60),ROW()-1,FALSE))</f>
        <v>1367.28</v>
      </c>
      <c r="AJ95">
        <f ca="1">IF(AND(ISNUMBER($AJ$233),$B$145=1),$AJ$233,HLOOKUP(INDIRECT(ADDRESS(2,COLUMN())),OFFSET($BN$2,0,0,ROW()-1,60),ROW()-1,FALSE))</f>
        <v>1398.058</v>
      </c>
      <c r="AK95">
        <f ca="1">IF(AND(ISNUMBER($AK$233),$B$145=1),$AK$233,HLOOKUP(INDIRECT(ADDRESS(2,COLUMN())),OFFSET($BN$2,0,0,ROW()-1,60),ROW()-1,FALSE))</f>
        <v>1325.5609999999999</v>
      </c>
      <c r="AL95">
        <f ca="1">IF(AND(ISNUMBER($AL$233),$B$145=1),$AL$233,HLOOKUP(INDIRECT(ADDRESS(2,COLUMN())),OFFSET($BN$2,0,0,ROW()-1,60),ROW()-1,FALSE))</f>
        <v>1324.721</v>
      </c>
      <c r="AM95">
        <f ca="1">IF(AND(ISNUMBER($AM$233),$B$145=1),$AM$233,HLOOKUP(INDIRECT(ADDRESS(2,COLUMN())),OFFSET($BN$2,0,0,ROW()-1,60),ROW()-1,FALSE))</f>
        <v>1297.8050000000001</v>
      </c>
      <c r="AN95">
        <f ca="1">IF(AND(ISNUMBER($AN$233),$B$145=1),$AN$233,HLOOKUP(INDIRECT(ADDRESS(2,COLUMN())),OFFSET($BN$2,0,0,ROW()-1,60),ROW()-1,FALSE))</f>
        <v>1291.0129999999999</v>
      </c>
      <c r="AO95">
        <f ca="1">IF(AND(ISNUMBER($AO$233),$B$145=1),$AO$233,HLOOKUP(INDIRECT(ADDRESS(2,COLUMN())),OFFSET($BN$2,0,0,ROW()-1,60),ROW()-1,FALSE))</f>
        <v>1284.0419999999999</v>
      </c>
      <c r="AP95">
        <f ca="1">IF(AND(ISNUMBER($AP$233),$B$145=1),$AP$233,HLOOKUP(INDIRECT(ADDRESS(2,COLUMN())),OFFSET($BN$2,0,0,ROW()-1,60),ROW()-1,FALSE))</f>
        <v>1319.4559999999999</v>
      </c>
      <c r="AQ95">
        <f ca="1">IF(AND(ISNUMBER($AQ$233),$B$145=1),$AQ$233,HLOOKUP(INDIRECT(ADDRESS(2,COLUMN())),OFFSET($BN$2,0,0,ROW()-1,60),ROW()-1,FALSE))</f>
        <v>1308.826</v>
      </c>
      <c r="AR95">
        <f ca="1">IF(AND(ISNUMBER($AR$233),$B$145=1),$AR$233,HLOOKUP(INDIRECT(ADDRESS(2,COLUMN())),OFFSET($BN$2,0,0,ROW()-1,60),ROW()-1,FALSE))</f>
        <v>1291.2280000000001</v>
      </c>
      <c r="AS95">
        <f ca="1">IF(AND(ISNUMBER($AS$233),$B$145=1),$AS$233,HLOOKUP(INDIRECT(ADDRESS(2,COLUMN())),OFFSET($BN$2,0,0,ROW()-1,60),ROW()-1,FALSE))</f>
        <v>1254.617</v>
      </c>
      <c r="AT95">
        <f ca="1">IF(AND(ISNUMBER($AT$233),$B$145=1),$AT$233,HLOOKUP(INDIRECT(ADDRESS(2,COLUMN())),OFFSET($BN$2,0,0,ROW()-1,60),ROW()-1,FALSE))</f>
        <v>1270.829</v>
      </c>
      <c r="AU95">
        <f ca="1">IF(AND(ISNUMBER($AU$233),$B$145=1),$AU$233,HLOOKUP(INDIRECT(ADDRESS(2,COLUMN())),OFFSET($BN$2,0,0,ROW()-1,60),ROW()-1,FALSE))</f>
        <v>1240.8030000000001</v>
      </c>
      <c r="AV95">
        <f ca="1">IF(AND(ISNUMBER($AV$233),$B$145=1),$AV$233,HLOOKUP(INDIRECT(ADDRESS(2,COLUMN())),OFFSET($BN$2,0,0,ROW()-1,60),ROW()-1,FALSE))</f>
        <v>1230.5650000000001</v>
      </c>
      <c r="AW95">
        <f ca="1">IF(AND(ISNUMBER($AW$233),$B$145=1),$AW$233,HLOOKUP(INDIRECT(ADDRESS(2,COLUMN())),OFFSET($BN$2,0,0,ROW()-1,60),ROW()-1,FALSE))</f>
        <v>1211.7840000000001</v>
      </c>
      <c r="AX95">
        <f ca="1">IF(AND(ISNUMBER($AX$233),$B$145=1),$AX$233,HLOOKUP(INDIRECT(ADDRESS(2,COLUMN())),OFFSET($BN$2,0,0,ROW()-1,60),ROW()-1,FALSE))</f>
        <v>1201.097</v>
      </c>
      <c r="AY95">
        <f ca="1">IF(AND(ISNUMBER($AY$233),$B$145=1),$AY$233,HLOOKUP(INDIRECT(ADDRESS(2,COLUMN())),OFFSET($BN$2,0,0,ROW()-1,60),ROW()-1,FALSE))</f>
        <v>1173.6220000000001</v>
      </c>
      <c r="AZ95">
        <f ca="1">IF(AND(ISNUMBER($AZ$233),$B$145=1),$AZ$233,HLOOKUP(INDIRECT(ADDRESS(2,COLUMN())),OFFSET($BN$2,0,0,ROW()-1,60),ROW()-1,FALSE))</f>
        <v>1148.6849999999999</v>
      </c>
      <c r="BA95">
        <f ca="1">IF(AND(ISNUMBER($BA$233),$B$145=1),$BA$233,HLOOKUP(INDIRECT(ADDRESS(2,COLUMN())),OFFSET($BN$2,0,0,ROW()-1,60),ROW()-1,FALSE))</f>
        <v>1093.548</v>
      </c>
      <c r="BB95">
        <f ca="1">IF(AND(ISNUMBER($BB$233),$B$145=1),$BB$233,HLOOKUP(INDIRECT(ADDRESS(2,COLUMN())),OFFSET($BN$2,0,0,ROW()-1,60),ROW()-1,FALSE))</f>
        <v>1118.71</v>
      </c>
      <c r="BC95">
        <f ca="1">IF(AND(ISNUMBER($BC$233),$B$145=1),$BC$233,HLOOKUP(INDIRECT(ADDRESS(2,COLUMN())),OFFSET($BN$2,0,0,ROW()-1,60),ROW()-1,FALSE))</f>
        <v>1057.6890000000001</v>
      </c>
      <c r="BD95">
        <f ca="1">IF(AND(ISNUMBER($BD$233),$B$145=1),$BD$233,HLOOKUP(INDIRECT(ADDRESS(2,COLUMN())),OFFSET($BN$2,0,0,ROW()-1,60),ROW()-1,FALSE))</f>
        <v>988.505</v>
      </c>
      <c r="BE95">
        <f ca="1">IF(AND(ISNUMBER($BE$233),$B$145=1),$BE$233,HLOOKUP(INDIRECT(ADDRESS(2,COLUMN())),OFFSET($BN$2,0,0,ROW()-1,60),ROW()-1,FALSE))</f>
        <v>922.12800000000004</v>
      </c>
      <c r="BF95">
        <f ca="1">IF(AND(ISNUMBER($BF$233),$B$145=1),$BF$233,HLOOKUP(INDIRECT(ADDRESS(2,COLUMN())),OFFSET($BN$2,0,0,ROW()-1,60),ROW()-1,FALSE))</f>
        <v>925.85599999999999</v>
      </c>
      <c r="BG95">
        <f ca="1">IF(AND(ISNUMBER($BG$233),$B$145=1),$BG$233,HLOOKUP(INDIRECT(ADDRESS(2,COLUMN())),OFFSET($BN$2,0,0,ROW()-1,60),ROW()-1,FALSE))</f>
        <v>964.9</v>
      </c>
      <c r="BH95">
        <f ca="1">IF(AND(ISNUMBER($BH$233),$B$145=1),$BH$233,HLOOKUP(INDIRECT(ADDRESS(2,COLUMN())),OFFSET($BN$2,0,0,ROW()-1,60),ROW()-1,FALSE))</f>
        <v>962.01900000000001</v>
      </c>
      <c r="BI95">
        <f ca="1">IF(AND(ISNUMBER($BI$233),$B$145=1),$BI$233,HLOOKUP(INDIRECT(ADDRESS(2,COLUMN())),OFFSET($BN$2,0,0,ROW()-1,60),ROW()-1,FALSE))</f>
        <v>946.87199999999996</v>
      </c>
      <c r="BJ95">
        <f ca="1">IF(AND(ISNUMBER($BJ$233),$B$145=1),$BJ$233,HLOOKUP(INDIRECT(ADDRESS(2,COLUMN())),OFFSET($BN$2,0,0,ROW()-1,60),ROW()-1,FALSE))</f>
        <v>953.36</v>
      </c>
      <c r="BK95">
        <f ca="1">IF(AND(ISNUMBER($BK$233),$B$145=1),$BK$233,HLOOKUP(INDIRECT(ADDRESS(2,COLUMN())),OFFSET($BN$2,0,0,ROW()-1,60),ROW()-1,FALSE))</f>
        <v>852.26700000000005</v>
      </c>
      <c r="BL95">
        <f ca="1">IF(AND(ISNUMBER($BL$233),$B$145=1),$BL$233,HLOOKUP(INDIRECT(ADDRESS(2,COLUMN())),OFFSET($BN$2,0,0,ROW()-1,60),ROW()-1,FALSE))</f>
        <v>841.69200000000001</v>
      </c>
      <c r="BM95" t="str">
        <f ca="1">IF(AND(ISNUMBER($BM$233),$B$145=1),$BM$233,HLOOKUP(INDIRECT(ADDRESS(2,COLUMN())),OFFSET($BN$2,0,0,ROW()-1,60),ROW()-1,FALSE))</f>
        <v/>
      </c>
      <c r="BN95">
        <f>1975</f>
        <v>1975</v>
      </c>
      <c r="BO95">
        <f>1932</f>
        <v>1932</v>
      </c>
      <c r="BP95">
        <f>1927</f>
        <v>1927</v>
      </c>
      <c r="BQ95">
        <f>1789</f>
        <v>1789</v>
      </c>
      <c r="BR95">
        <f>1799</f>
        <v>1799</v>
      </c>
      <c r="BS95">
        <f>1747</f>
        <v>1747</v>
      </c>
      <c r="BT95">
        <f>1739</f>
        <v>1739</v>
      </c>
      <c r="BU95">
        <f>1730</f>
        <v>1730</v>
      </c>
      <c r="BV95">
        <f>1693.486</f>
        <v>1693.4860000000001</v>
      </c>
      <c r="BW95">
        <f>1625.599</f>
        <v>1625.5989999999999</v>
      </c>
      <c r="BX95">
        <f>1595.676</f>
        <v>1595.6759999999999</v>
      </c>
      <c r="BY95">
        <f>1547.973</f>
        <v>1547.973</v>
      </c>
      <c r="BZ95">
        <f>1582.081</f>
        <v>1582.0809999999999</v>
      </c>
      <c r="CA95">
        <f>1536.142</f>
        <v>1536.1420000000001</v>
      </c>
      <c r="CB95">
        <f>1539.12</f>
        <v>1539.12</v>
      </c>
      <c r="CC95">
        <f>1150.753</f>
        <v>1150.7529999999999</v>
      </c>
      <c r="CD95">
        <f>1139.279</f>
        <v>1139.279</v>
      </c>
      <c r="CE95">
        <f>1078.158</f>
        <v>1078.1579999999999</v>
      </c>
      <c r="CF95">
        <f>1049.219</f>
        <v>1049.2190000000001</v>
      </c>
      <c r="CG95">
        <f>1073.245</f>
        <v>1073.2449999999999</v>
      </c>
      <c r="CH95">
        <f>1172.384</f>
        <v>1172.384</v>
      </c>
      <c r="CI95">
        <f>1054.451</f>
        <v>1054.451</v>
      </c>
      <c r="CJ95">
        <f>927.692</f>
        <v>927.69200000000001</v>
      </c>
      <c r="CK95">
        <f>833.226</f>
        <v>833.226</v>
      </c>
      <c r="CL95">
        <f>844.522</f>
        <v>844.52200000000005</v>
      </c>
      <c r="CM95">
        <f>892.72</f>
        <v>892.72</v>
      </c>
      <c r="CN95">
        <f>894.005</f>
        <v>894.005</v>
      </c>
      <c r="CO95">
        <f>1016.759</f>
        <v>1016.759</v>
      </c>
      <c r="CP95">
        <f>1314.904</f>
        <v>1314.904</v>
      </c>
      <c r="CQ95">
        <f>1367.28</f>
        <v>1367.28</v>
      </c>
      <c r="CR95">
        <f>1398.058</f>
        <v>1398.058</v>
      </c>
      <c r="CS95">
        <f>1325.561</f>
        <v>1325.5609999999999</v>
      </c>
      <c r="CT95">
        <f>1324.721</f>
        <v>1324.721</v>
      </c>
      <c r="CU95">
        <f>1297.805</f>
        <v>1297.8050000000001</v>
      </c>
      <c r="CV95">
        <f>1291.013</f>
        <v>1291.0129999999999</v>
      </c>
      <c r="CW95">
        <f>1284.042</f>
        <v>1284.0419999999999</v>
      </c>
      <c r="CX95">
        <f>1319.456</f>
        <v>1319.4559999999999</v>
      </c>
      <c r="CY95">
        <f>1308.826</f>
        <v>1308.826</v>
      </c>
      <c r="CZ95">
        <f>1291.228</f>
        <v>1291.2280000000001</v>
      </c>
      <c r="DA95">
        <f>1254.617</f>
        <v>1254.617</v>
      </c>
      <c r="DB95">
        <f>1270.829</f>
        <v>1270.829</v>
      </c>
      <c r="DC95">
        <f>1240.803</f>
        <v>1240.8030000000001</v>
      </c>
      <c r="DD95">
        <f>1230.565</f>
        <v>1230.5650000000001</v>
      </c>
      <c r="DE95">
        <f>1211.784</f>
        <v>1211.7840000000001</v>
      </c>
      <c r="DF95">
        <f>1201.097</f>
        <v>1201.097</v>
      </c>
      <c r="DG95">
        <f>1173.622</f>
        <v>1173.6220000000001</v>
      </c>
      <c r="DH95">
        <f>1148.685</f>
        <v>1148.6849999999999</v>
      </c>
      <c r="DI95">
        <f>1093.548</f>
        <v>1093.548</v>
      </c>
      <c r="DJ95">
        <f>1118.71</f>
        <v>1118.71</v>
      </c>
      <c r="DK95">
        <f>1057.689</f>
        <v>1057.6890000000001</v>
      </c>
      <c r="DL95">
        <f>988.505</f>
        <v>988.505</v>
      </c>
      <c r="DM95">
        <f>922.128</f>
        <v>922.12800000000004</v>
      </c>
      <c r="DN95">
        <f>925.856</f>
        <v>925.85599999999999</v>
      </c>
      <c r="DO95">
        <f>964.9</f>
        <v>964.9</v>
      </c>
      <c r="DP95">
        <f>962.019</f>
        <v>962.01900000000001</v>
      </c>
      <c r="DQ95">
        <f>946.872</f>
        <v>946.87199999999996</v>
      </c>
      <c r="DR95">
        <f>953.36</f>
        <v>953.36</v>
      </c>
      <c r="DS95">
        <f>852.267</f>
        <v>852.26700000000005</v>
      </c>
      <c r="DT95">
        <f>841.692</f>
        <v>841.69200000000001</v>
      </c>
      <c r="DU95" t="str">
        <f>""</f>
        <v/>
      </c>
    </row>
    <row r="96" spans="1:125" x14ac:dyDescent="0.25">
      <c r="A96" t="str">
        <f>"            First Citizens BancShares Inc/"</f>
        <v xml:space="preserve">            First Citizens BancShares Inc/</v>
      </c>
      <c r="B96" t="str">
        <f>"FCNCA US Equity"</f>
        <v>FCNCA US Equity</v>
      </c>
      <c r="C96" t="str">
        <f t="shared" si="12"/>
        <v>FR531</v>
      </c>
      <c r="D96" t="str">
        <f t="shared" si="13"/>
        <v>FED_INVT_IN_RE_VENTURES</v>
      </c>
      <c r="E96" t="str">
        <f t="shared" si="14"/>
        <v>Dynamic</v>
      </c>
      <c r="F96">
        <f ca="1">IF(AND(ISNUMBER($F$234),$B$145=1),$F$234,HLOOKUP(INDIRECT(ADDRESS(2,COLUMN())),OFFSET($BN$2,0,0,ROW()-1,60),ROW()-1,FALSE))</f>
        <v>2381</v>
      </c>
      <c r="G96">
        <f ca="1">IF(AND(ISNUMBER($G$234),$B$145=1),$G$234,HLOOKUP(INDIRECT(ADDRESS(2,COLUMN())),OFFSET($BN$2,0,0,ROW()-1,60),ROW()-1,FALSE))</f>
        <v>2087</v>
      </c>
      <c r="H96">
        <f ca="1">IF(AND(ISNUMBER($H$234),$B$145=1),$H$234,HLOOKUP(INDIRECT(ADDRESS(2,COLUMN())),OFFSET($BN$2,0,0,ROW()-1,60),ROW()-1,FALSE))</f>
        <v>2113</v>
      </c>
      <c r="I96">
        <f ca="1">IF(AND(ISNUMBER($I$234),$B$145=1),$I$234,HLOOKUP(INDIRECT(ADDRESS(2,COLUMN())),OFFSET($BN$2,0,0,ROW()-1,60),ROW()-1,FALSE))</f>
        <v>26</v>
      </c>
      <c r="J96">
        <f ca="1">IF(AND(ISNUMBER($J$234),$B$145=1),$J$234,HLOOKUP(INDIRECT(ADDRESS(2,COLUMN())),OFFSET($BN$2,0,0,ROW()-1,60),ROW()-1,FALSE))</f>
        <v>31.856999999999999</v>
      </c>
      <c r="K96">
        <f ca="1">IF(AND(ISNUMBER($K$234),$B$145=1),$K$234,HLOOKUP(INDIRECT(ADDRESS(2,COLUMN())),OFFSET($BN$2,0,0,ROW()-1,60),ROW()-1,FALSE))</f>
        <v>31.451000000000001</v>
      </c>
      <c r="L96">
        <f ca="1">IF(AND(ISNUMBER($L$234),$B$145=1),$L$234,HLOOKUP(INDIRECT(ADDRESS(2,COLUMN())),OFFSET($BN$2,0,0,ROW()-1,60),ROW()-1,FALSE))</f>
        <v>36.472000000000001</v>
      </c>
      <c r="M96">
        <f ca="1">IF(AND(ISNUMBER($M$234),$B$145=1),$M$234,HLOOKUP(INDIRECT(ADDRESS(2,COLUMN())),OFFSET($BN$2,0,0,ROW()-1,60),ROW()-1,FALSE))</f>
        <v>35.929000000000002</v>
      </c>
      <c r="N96">
        <f ca="1">IF(AND(ISNUMBER($N$234),$B$145=1),$N$234,HLOOKUP(INDIRECT(ADDRESS(2,COLUMN())),OFFSET($BN$2,0,0,ROW()-1,60),ROW()-1,FALSE))</f>
        <v>36.210999999999999</v>
      </c>
      <c r="O96">
        <f ca="1">IF(AND(ISNUMBER($O$234),$B$145=1),$O$234,HLOOKUP(INDIRECT(ADDRESS(2,COLUMN())),OFFSET($BN$2,0,0,ROW()-1,60),ROW()-1,FALSE))</f>
        <v>38.651000000000003</v>
      </c>
      <c r="P96">
        <f ca="1">IF(AND(ISNUMBER($P$234),$B$145=1),$P$234,HLOOKUP(INDIRECT(ADDRESS(2,COLUMN())),OFFSET($BN$2,0,0,ROW()-1,60),ROW()-1,FALSE))</f>
        <v>48.463000000000001</v>
      </c>
      <c r="Q96">
        <f ca="1">IF(AND(ISNUMBER($Q$234),$B$145=1),$Q$234,HLOOKUP(INDIRECT(ADDRESS(2,COLUMN())),OFFSET($BN$2,0,0,ROW()-1,60),ROW()-1,FALSE))</f>
        <v>68.954999999999998</v>
      </c>
      <c r="R96">
        <f ca="1">IF(AND(ISNUMBER($R$234),$B$145=1),$R$234,HLOOKUP(INDIRECT(ADDRESS(2,COLUMN())),OFFSET($BN$2,0,0,ROW()-1,60),ROW()-1,FALSE))</f>
        <v>0</v>
      </c>
      <c r="S96">
        <f ca="1">IF(AND(ISNUMBER($S$234),$B$145=1),$S$234,HLOOKUP(INDIRECT(ADDRESS(2,COLUMN())),OFFSET($BN$2,0,0,ROW()-1,60),ROW()-1,FALSE))</f>
        <v>0</v>
      </c>
      <c r="T96">
        <f ca="1">IF(AND(ISNUMBER($T$234),$B$145=1),$T$234,HLOOKUP(INDIRECT(ADDRESS(2,COLUMN())),OFFSET($BN$2,0,0,ROW()-1,60),ROW()-1,FALSE))</f>
        <v>0</v>
      </c>
      <c r="U96">
        <f ca="1">IF(AND(ISNUMBER($U$234),$B$145=1),$U$234,HLOOKUP(INDIRECT(ADDRESS(2,COLUMN())),OFFSET($BN$2,0,0,ROW()-1,60),ROW()-1,FALSE))</f>
        <v>0</v>
      </c>
      <c r="V96">
        <f ca="1">IF(AND(ISNUMBER($V$234),$B$145=1),$V$234,HLOOKUP(INDIRECT(ADDRESS(2,COLUMN())),OFFSET($BN$2,0,0,ROW()-1,60),ROW()-1,FALSE))</f>
        <v>0</v>
      </c>
      <c r="W96">
        <f ca="1">IF(AND(ISNUMBER($W$234),$B$145=1),$W$234,HLOOKUP(INDIRECT(ADDRESS(2,COLUMN())),OFFSET($BN$2,0,0,ROW()-1,60),ROW()-1,FALSE))</f>
        <v>0</v>
      </c>
      <c r="X96">
        <f ca="1">IF(AND(ISNUMBER($X$234),$B$145=1),$X$234,HLOOKUP(INDIRECT(ADDRESS(2,COLUMN())),OFFSET($BN$2,0,0,ROW()-1,60),ROW()-1,FALSE))</f>
        <v>0</v>
      </c>
      <c r="Y96">
        <f ca="1">IF(AND(ISNUMBER($Y$234),$B$145=1),$Y$234,HLOOKUP(INDIRECT(ADDRESS(2,COLUMN())),OFFSET($BN$2,0,0,ROW()-1,60),ROW()-1,FALSE))</f>
        <v>0</v>
      </c>
      <c r="Z96">
        <f ca="1">IF(AND(ISNUMBER($Z$234),$B$145=1),$Z$234,HLOOKUP(INDIRECT(ADDRESS(2,COLUMN())),OFFSET($BN$2,0,0,ROW()-1,60),ROW()-1,FALSE))</f>
        <v>0</v>
      </c>
      <c r="AA96">
        <f ca="1">IF(AND(ISNUMBER($AA$234),$B$145=1),$AA$234,HLOOKUP(INDIRECT(ADDRESS(2,COLUMN())),OFFSET($BN$2,0,0,ROW()-1,60),ROW()-1,FALSE))</f>
        <v>0</v>
      </c>
      <c r="AB96">
        <f ca="1">IF(AND(ISNUMBER($AB$234),$B$145=1),$AB$234,HLOOKUP(INDIRECT(ADDRESS(2,COLUMN())),OFFSET($BN$2,0,0,ROW()-1,60),ROW()-1,FALSE))</f>
        <v>0</v>
      </c>
      <c r="AC96">
        <f ca="1">IF(AND(ISNUMBER($AC$234),$B$145=1),$AC$234,HLOOKUP(INDIRECT(ADDRESS(2,COLUMN())),OFFSET($BN$2,0,0,ROW()-1,60),ROW()-1,FALSE))</f>
        <v>0</v>
      </c>
      <c r="AD96">
        <f ca="1">IF(AND(ISNUMBER($AD$234),$B$145=1),$AD$234,HLOOKUP(INDIRECT(ADDRESS(2,COLUMN())),OFFSET($BN$2,0,0,ROW()-1,60),ROW()-1,FALSE))</f>
        <v>0</v>
      </c>
      <c r="AE96">
        <f ca="1">IF(AND(ISNUMBER($AE$234),$B$145=1),$AE$234,HLOOKUP(INDIRECT(ADDRESS(2,COLUMN())),OFFSET($BN$2,0,0,ROW()-1,60),ROW()-1,FALSE))</f>
        <v>0</v>
      </c>
      <c r="AF96">
        <f ca="1">IF(AND(ISNUMBER($AF$234),$B$145=1),$AF$234,HLOOKUP(INDIRECT(ADDRESS(2,COLUMN())),OFFSET($BN$2,0,0,ROW()-1,60),ROW()-1,FALSE))</f>
        <v>0</v>
      </c>
      <c r="AG96">
        <f ca="1">IF(AND(ISNUMBER($AG$234),$B$145=1),$AG$234,HLOOKUP(INDIRECT(ADDRESS(2,COLUMN())),OFFSET($BN$2,0,0,ROW()-1,60),ROW()-1,FALSE))</f>
        <v>0</v>
      </c>
      <c r="AH96">
        <f ca="1">IF(AND(ISNUMBER($AH$234),$B$145=1),$AH$234,HLOOKUP(INDIRECT(ADDRESS(2,COLUMN())),OFFSET($BN$2,0,0,ROW()-1,60),ROW()-1,FALSE))</f>
        <v>0</v>
      </c>
      <c r="AI96">
        <f ca="1">IF(AND(ISNUMBER($AI$234),$B$145=1),$AI$234,HLOOKUP(INDIRECT(ADDRESS(2,COLUMN())),OFFSET($BN$2,0,0,ROW()-1,60),ROW()-1,FALSE))</f>
        <v>0</v>
      </c>
      <c r="AJ96">
        <f ca="1">IF(AND(ISNUMBER($AJ$234),$B$145=1),$AJ$234,HLOOKUP(INDIRECT(ADDRESS(2,COLUMN())),OFFSET($BN$2,0,0,ROW()-1,60),ROW()-1,FALSE))</f>
        <v>0</v>
      </c>
      <c r="AK96">
        <f ca="1">IF(AND(ISNUMBER($AK$234),$B$145=1),$AK$234,HLOOKUP(INDIRECT(ADDRESS(2,COLUMN())),OFFSET($BN$2,0,0,ROW()-1,60),ROW()-1,FALSE))</f>
        <v>0</v>
      </c>
      <c r="AL96">
        <f ca="1">IF(AND(ISNUMBER($AL$234),$B$145=1),$AL$234,HLOOKUP(INDIRECT(ADDRESS(2,COLUMN())),OFFSET($BN$2,0,0,ROW()-1,60),ROW()-1,FALSE))</f>
        <v>0</v>
      </c>
      <c r="AM96">
        <f ca="1">IF(AND(ISNUMBER($AM$234),$B$145=1),$AM$234,HLOOKUP(INDIRECT(ADDRESS(2,COLUMN())),OFFSET($BN$2,0,0,ROW()-1,60),ROW()-1,FALSE))</f>
        <v>0</v>
      </c>
      <c r="AN96">
        <f ca="1">IF(AND(ISNUMBER($AN$234),$B$145=1),$AN$234,HLOOKUP(INDIRECT(ADDRESS(2,COLUMN())),OFFSET($BN$2,0,0,ROW()-1,60),ROW()-1,FALSE))</f>
        <v>0</v>
      </c>
      <c r="AO96">
        <f ca="1">IF(AND(ISNUMBER($AO$234),$B$145=1),$AO$234,HLOOKUP(INDIRECT(ADDRESS(2,COLUMN())),OFFSET($BN$2,0,0,ROW()-1,60),ROW()-1,FALSE))</f>
        <v>0</v>
      </c>
      <c r="AP96">
        <f ca="1">IF(AND(ISNUMBER($AP$234),$B$145=1),$AP$234,HLOOKUP(INDIRECT(ADDRESS(2,COLUMN())),OFFSET($BN$2,0,0,ROW()-1,60),ROW()-1,FALSE))</f>
        <v>0</v>
      </c>
      <c r="AQ96">
        <f ca="1">IF(AND(ISNUMBER($AQ$234),$B$145=1),$AQ$234,HLOOKUP(INDIRECT(ADDRESS(2,COLUMN())),OFFSET($BN$2,0,0,ROW()-1,60),ROW()-1,FALSE))</f>
        <v>0</v>
      </c>
      <c r="AR96">
        <f ca="1">IF(AND(ISNUMBER($AR$234),$B$145=1),$AR$234,HLOOKUP(INDIRECT(ADDRESS(2,COLUMN())),OFFSET($BN$2,0,0,ROW()-1,60),ROW()-1,FALSE))</f>
        <v>0</v>
      </c>
      <c r="AS96">
        <f ca="1">IF(AND(ISNUMBER($AS$234),$B$145=1),$AS$234,HLOOKUP(INDIRECT(ADDRESS(2,COLUMN())),OFFSET($BN$2,0,0,ROW()-1,60),ROW()-1,FALSE))</f>
        <v>0</v>
      </c>
      <c r="AT96">
        <f ca="1">IF(AND(ISNUMBER($AT$234),$B$145=1),$AT$234,HLOOKUP(INDIRECT(ADDRESS(2,COLUMN())),OFFSET($BN$2,0,0,ROW()-1,60),ROW()-1,FALSE))</f>
        <v>0</v>
      </c>
      <c r="AU96">
        <f ca="1">IF(AND(ISNUMBER($AU$234),$B$145=1),$AU$234,HLOOKUP(INDIRECT(ADDRESS(2,COLUMN())),OFFSET($BN$2,0,0,ROW()-1,60),ROW()-1,FALSE))</f>
        <v>0</v>
      </c>
      <c r="AV96">
        <f ca="1">IF(AND(ISNUMBER($AV$234),$B$145=1),$AV$234,HLOOKUP(INDIRECT(ADDRESS(2,COLUMN())),OFFSET($BN$2,0,0,ROW()-1,60),ROW()-1,FALSE))</f>
        <v>0</v>
      </c>
      <c r="AW96">
        <f ca="1">IF(AND(ISNUMBER($AW$234),$B$145=1),$AW$234,HLOOKUP(INDIRECT(ADDRESS(2,COLUMN())),OFFSET($BN$2,0,0,ROW()-1,60),ROW()-1,FALSE))</f>
        <v>0</v>
      </c>
      <c r="AX96">
        <f ca="1">IF(AND(ISNUMBER($AX$234),$B$145=1),$AX$234,HLOOKUP(INDIRECT(ADDRESS(2,COLUMN())),OFFSET($BN$2,0,0,ROW()-1,60),ROW()-1,FALSE))</f>
        <v>0</v>
      </c>
      <c r="AY96">
        <f ca="1">IF(AND(ISNUMBER($AY$234),$B$145=1),$AY$234,HLOOKUP(INDIRECT(ADDRESS(2,COLUMN())),OFFSET($BN$2,0,0,ROW()-1,60),ROW()-1,FALSE))</f>
        <v>0</v>
      </c>
      <c r="AZ96">
        <f ca="1">IF(AND(ISNUMBER($AZ$234),$B$145=1),$AZ$234,HLOOKUP(INDIRECT(ADDRESS(2,COLUMN())),OFFSET($BN$2,0,0,ROW()-1,60),ROW()-1,FALSE))</f>
        <v>0</v>
      </c>
      <c r="BA96">
        <f ca="1">IF(AND(ISNUMBER($BA$234),$B$145=1),$BA$234,HLOOKUP(INDIRECT(ADDRESS(2,COLUMN())),OFFSET($BN$2,0,0,ROW()-1,60),ROW()-1,FALSE))</f>
        <v>0</v>
      </c>
      <c r="BB96">
        <f ca="1">IF(AND(ISNUMBER($BB$234),$B$145=1),$BB$234,HLOOKUP(INDIRECT(ADDRESS(2,COLUMN())),OFFSET($BN$2,0,0,ROW()-1,60),ROW()-1,FALSE))</f>
        <v>0</v>
      </c>
      <c r="BC96">
        <f ca="1">IF(AND(ISNUMBER($BC$234),$B$145=1),$BC$234,HLOOKUP(INDIRECT(ADDRESS(2,COLUMN())),OFFSET($BN$2,0,0,ROW()-1,60),ROW()-1,FALSE))</f>
        <v>0</v>
      </c>
      <c r="BD96">
        <f ca="1">IF(AND(ISNUMBER($BD$234),$B$145=1),$BD$234,HLOOKUP(INDIRECT(ADDRESS(2,COLUMN())),OFFSET($BN$2,0,0,ROW()-1,60),ROW()-1,FALSE))</f>
        <v>0</v>
      </c>
      <c r="BE96">
        <f ca="1">IF(AND(ISNUMBER($BE$234),$B$145=1),$BE$234,HLOOKUP(INDIRECT(ADDRESS(2,COLUMN())),OFFSET($BN$2,0,0,ROW()-1,60),ROW()-1,FALSE))</f>
        <v>0</v>
      </c>
      <c r="BF96">
        <f ca="1">IF(AND(ISNUMBER($BF$234),$B$145=1),$BF$234,HLOOKUP(INDIRECT(ADDRESS(2,COLUMN())),OFFSET($BN$2,0,0,ROW()-1,60),ROW()-1,FALSE))</f>
        <v>0</v>
      </c>
      <c r="BG96">
        <f ca="1">IF(AND(ISNUMBER($BG$234),$B$145=1),$BG$234,HLOOKUP(INDIRECT(ADDRESS(2,COLUMN())),OFFSET($BN$2,0,0,ROW()-1,60),ROW()-1,FALSE))</f>
        <v>0</v>
      </c>
      <c r="BH96">
        <f ca="1">IF(AND(ISNUMBER($BH$234),$B$145=1),$BH$234,HLOOKUP(INDIRECT(ADDRESS(2,COLUMN())),OFFSET($BN$2,0,0,ROW()-1,60),ROW()-1,FALSE))</f>
        <v>0</v>
      </c>
      <c r="BI96">
        <f ca="1">IF(AND(ISNUMBER($BI$234),$B$145=1),$BI$234,HLOOKUP(INDIRECT(ADDRESS(2,COLUMN())),OFFSET($BN$2,0,0,ROW()-1,60),ROW()-1,FALSE))</f>
        <v>0</v>
      </c>
      <c r="BJ96">
        <f ca="1">IF(AND(ISNUMBER($BJ$234),$B$145=1),$BJ$234,HLOOKUP(INDIRECT(ADDRESS(2,COLUMN())),OFFSET($BN$2,0,0,ROW()-1,60),ROW()-1,FALSE))</f>
        <v>0</v>
      </c>
      <c r="BK96">
        <f ca="1">IF(AND(ISNUMBER($BK$234),$B$145=1),$BK$234,HLOOKUP(INDIRECT(ADDRESS(2,COLUMN())),OFFSET($BN$2,0,0,ROW()-1,60),ROW()-1,FALSE))</f>
        <v>0</v>
      </c>
      <c r="BL96">
        <f ca="1">IF(AND(ISNUMBER($BL$234),$B$145=1),$BL$234,HLOOKUP(INDIRECT(ADDRESS(2,COLUMN())),OFFSET($BN$2,0,0,ROW()-1,60),ROW()-1,FALSE))</f>
        <v>0</v>
      </c>
      <c r="BM96" t="str">
        <f ca="1">IF(AND(ISNUMBER($BM$234),$B$145=1),$BM$234,HLOOKUP(INDIRECT(ADDRESS(2,COLUMN())),OFFSET($BN$2,0,0,ROW()-1,60),ROW()-1,FALSE))</f>
        <v/>
      </c>
      <c r="BN96">
        <f>2381</f>
        <v>2381</v>
      </c>
      <c r="BO96">
        <f>2087</f>
        <v>2087</v>
      </c>
      <c r="BP96">
        <f>2113</f>
        <v>2113</v>
      </c>
      <c r="BQ96">
        <f>26</f>
        <v>26</v>
      </c>
      <c r="BR96">
        <f>31.857</f>
        <v>31.856999999999999</v>
      </c>
      <c r="BS96">
        <f>31.451</f>
        <v>31.451000000000001</v>
      </c>
      <c r="BT96">
        <f>36.472</f>
        <v>36.472000000000001</v>
      </c>
      <c r="BU96">
        <f>35.929</f>
        <v>35.929000000000002</v>
      </c>
      <c r="BV96">
        <f>36.211</f>
        <v>36.210999999999999</v>
      </c>
      <c r="BW96">
        <f>38.651</f>
        <v>38.651000000000003</v>
      </c>
      <c r="BX96">
        <f>48.463</f>
        <v>48.463000000000001</v>
      </c>
      <c r="BY96">
        <f>68.955</f>
        <v>68.954999999999998</v>
      </c>
      <c r="BZ96">
        <f>0</f>
        <v>0</v>
      </c>
      <c r="CA96">
        <f>0</f>
        <v>0</v>
      </c>
      <c r="CB96">
        <f>0</f>
        <v>0</v>
      </c>
      <c r="CC96">
        <f>0</f>
        <v>0</v>
      </c>
      <c r="CD96">
        <f>0</f>
        <v>0</v>
      </c>
      <c r="CE96">
        <f>0</f>
        <v>0</v>
      </c>
      <c r="CF96">
        <f>0</f>
        <v>0</v>
      </c>
      <c r="CG96">
        <f>0</f>
        <v>0</v>
      </c>
      <c r="CH96">
        <f>0</f>
        <v>0</v>
      </c>
      <c r="CI96">
        <f>0</f>
        <v>0</v>
      </c>
      <c r="CJ96">
        <f>0</f>
        <v>0</v>
      </c>
      <c r="CK96">
        <f>0</f>
        <v>0</v>
      </c>
      <c r="CL96">
        <f>0</f>
        <v>0</v>
      </c>
      <c r="CM96">
        <f>0</f>
        <v>0</v>
      </c>
      <c r="CN96">
        <f>0</f>
        <v>0</v>
      </c>
      <c r="CO96">
        <f>0</f>
        <v>0</v>
      </c>
      <c r="CP96">
        <f>0</f>
        <v>0</v>
      </c>
      <c r="CQ96">
        <f>0</f>
        <v>0</v>
      </c>
      <c r="CR96">
        <f>0</f>
        <v>0</v>
      </c>
      <c r="CS96">
        <f>0</f>
        <v>0</v>
      </c>
      <c r="CT96">
        <f>0</f>
        <v>0</v>
      </c>
      <c r="CU96">
        <f>0</f>
        <v>0</v>
      </c>
      <c r="CV96">
        <f>0</f>
        <v>0</v>
      </c>
      <c r="CW96">
        <f>0</f>
        <v>0</v>
      </c>
      <c r="CX96">
        <f>0</f>
        <v>0</v>
      </c>
      <c r="CY96">
        <f>0</f>
        <v>0</v>
      </c>
      <c r="CZ96">
        <f>0</f>
        <v>0</v>
      </c>
      <c r="DA96">
        <f>0</f>
        <v>0</v>
      </c>
      <c r="DB96">
        <f>0</f>
        <v>0</v>
      </c>
      <c r="DC96">
        <f>0</f>
        <v>0</v>
      </c>
      <c r="DD96">
        <f>0</f>
        <v>0</v>
      </c>
      <c r="DE96">
        <f>0</f>
        <v>0</v>
      </c>
      <c r="DF96">
        <f>0</f>
        <v>0</v>
      </c>
      <c r="DG96">
        <f>0</f>
        <v>0</v>
      </c>
      <c r="DH96">
        <f>0</f>
        <v>0</v>
      </c>
      <c r="DI96">
        <f>0</f>
        <v>0</v>
      </c>
      <c r="DJ96">
        <f>0</f>
        <v>0</v>
      </c>
      <c r="DK96">
        <f>0</f>
        <v>0</v>
      </c>
      <c r="DL96">
        <f>0</f>
        <v>0</v>
      </c>
      <c r="DM96">
        <f>0</f>
        <v>0</v>
      </c>
      <c r="DN96">
        <f>0</f>
        <v>0</v>
      </c>
      <c r="DO96">
        <f>0</f>
        <v>0</v>
      </c>
      <c r="DP96">
        <f>0</f>
        <v>0</v>
      </c>
      <c r="DQ96">
        <f>0</f>
        <v>0</v>
      </c>
      <c r="DR96">
        <f>0</f>
        <v>0</v>
      </c>
      <c r="DS96">
        <f>0</f>
        <v>0</v>
      </c>
      <c r="DT96">
        <f>0</f>
        <v>0</v>
      </c>
      <c r="DU96" t="str">
        <f>""</f>
        <v/>
      </c>
    </row>
    <row r="97" spans="1:125" x14ac:dyDescent="0.25">
      <c r="A97" t="str">
        <f>"            Flagstar Financial Inc"</f>
        <v xml:space="preserve">            Flagstar Financial Inc</v>
      </c>
      <c r="B97" t="str">
        <f>"FLG US Equity"</f>
        <v>FLG US Equity</v>
      </c>
      <c r="C97" t="str">
        <f t="shared" si="12"/>
        <v>FR531</v>
      </c>
      <c r="D97" t="str">
        <f t="shared" si="13"/>
        <v>FED_INVT_IN_RE_VENTURES</v>
      </c>
      <c r="E97" t="str">
        <f t="shared" si="14"/>
        <v>Dynamic</v>
      </c>
      <c r="F97">
        <f ca="1">IF(AND(ISNUMBER($F$235),$B$145=1),$F$235,HLOOKUP(INDIRECT(ADDRESS(2,COLUMN())),OFFSET($BN$2,0,0,ROW()-1,60),ROW()-1,FALSE))</f>
        <v>0</v>
      </c>
      <c r="G97">
        <f ca="1">IF(AND(ISNUMBER($G$235),$B$145=1),$G$235,HLOOKUP(INDIRECT(ADDRESS(2,COLUMN())),OFFSET($BN$2,0,0,ROW()-1,60),ROW()-1,FALSE))</f>
        <v>0</v>
      </c>
      <c r="H97">
        <f ca="1">IF(AND(ISNUMBER($H$235),$B$145=1),$H$235,HLOOKUP(INDIRECT(ADDRESS(2,COLUMN())),OFFSET($BN$2,0,0,ROW()-1,60),ROW()-1,FALSE))</f>
        <v>0</v>
      </c>
      <c r="I97">
        <f ca="1">IF(AND(ISNUMBER($I$235),$B$145=1),$I$235,HLOOKUP(INDIRECT(ADDRESS(2,COLUMN())),OFFSET($BN$2,0,0,ROW()-1,60),ROW()-1,FALSE))</f>
        <v>0</v>
      </c>
      <c r="J97">
        <f ca="1">IF(AND(ISNUMBER($J$235),$B$145=1),$J$235,HLOOKUP(INDIRECT(ADDRESS(2,COLUMN())),OFFSET($BN$2,0,0,ROW()-1,60),ROW()-1,FALSE))</f>
        <v>0</v>
      </c>
      <c r="K97">
        <f ca="1">IF(AND(ISNUMBER($K$235),$B$145=1),$K$235,HLOOKUP(INDIRECT(ADDRESS(2,COLUMN())),OFFSET($BN$2,0,0,ROW()-1,60),ROW()-1,FALSE))</f>
        <v>0</v>
      </c>
      <c r="L97">
        <f ca="1">IF(AND(ISNUMBER($L$235),$B$145=1),$L$235,HLOOKUP(INDIRECT(ADDRESS(2,COLUMN())),OFFSET($BN$2,0,0,ROW()-1,60),ROW()-1,FALSE))</f>
        <v>0</v>
      </c>
      <c r="M97">
        <f ca="1">IF(AND(ISNUMBER($M$235),$B$145=1),$M$235,HLOOKUP(INDIRECT(ADDRESS(2,COLUMN())),OFFSET($BN$2,0,0,ROW()-1,60),ROW()-1,FALSE))</f>
        <v>0</v>
      </c>
      <c r="N97">
        <f ca="1">IF(AND(ISNUMBER($N$235),$B$145=1),$N$235,HLOOKUP(INDIRECT(ADDRESS(2,COLUMN())),OFFSET($BN$2,0,0,ROW()-1,60),ROW()-1,FALSE))</f>
        <v>0</v>
      </c>
      <c r="O97">
        <f ca="1">IF(AND(ISNUMBER($O$235),$B$145=1),$O$235,HLOOKUP(INDIRECT(ADDRESS(2,COLUMN())),OFFSET($BN$2,0,0,ROW()-1,60),ROW()-1,FALSE))</f>
        <v>0</v>
      </c>
      <c r="P97">
        <f ca="1">IF(AND(ISNUMBER($P$235),$B$145=1),$P$235,HLOOKUP(INDIRECT(ADDRESS(2,COLUMN())),OFFSET($BN$2,0,0,ROW()-1,60),ROW()-1,FALSE))</f>
        <v>0</v>
      </c>
      <c r="Q97">
        <f ca="1">IF(AND(ISNUMBER($Q$235),$B$145=1),$Q$235,HLOOKUP(INDIRECT(ADDRESS(2,COLUMN())),OFFSET($BN$2,0,0,ROW()-1,60),ROW()-1,FALSE))</f>
        <v>0</v>
      </c>
      <c r="R97">
        <f ca="1">IF(AND(ISNUMBER($R$235),$B$145=1),$R$235,HLOOKUP(INDIRECT(ADDRESS(2,COLUMN())),OFFSET($BN$2,0,0,ROW()-1,60),ROW()-1,FALSE))</f>
        <v>0</v>
      </c>
      <c r="S97">
        <f ca="1">IF(AND(ISNUMBER($S$235),$B$145=1),$S$235,HLOOKUP(INDIRECT(ADDRESS(2,COLUMN())),OFFSET($BN$2,0,0,ROW()-1,60),ROW()-1,FALSE))</f>
        <v>0</v>
      </c>
      <c r="T97">
        <f ca="1">IF(AND(ISNUMBER($T$235),$B$145=1),$T$235,HLOOKUP(INDIRECT(ADDRESS(2,COLUMN())),OFFSET($BN$2,0,0,ROW()-1,60),ROW()-1,FALSE))</f>
        <v>0</v>
      </c>
      <c r="U97">
        <f ca="1">IF(AND(ISNUMBER($U$235),$B$145=1),$U$235,HLOOKUP(INDIRECT(ADDRESS(2,COLUMN())),OFFSET($BN$2,0,0,ROW()-1,60),ROW()-1,FALSE))</f>
        <v>0</v>
      </c>
      <c r="V97">
        <f ca="1">IF(AND(ISNUMBER($V$235),$B$145=1),$V$235,HLOOKUP(INDIRECT(ADDRESS(2,COLUMN())),OFFSET($BN$2,0,0,ROW()-1,60),ROW()-1,FALSE))</f>
        <v>0</v>
      </c>
      <c r="W97">
        <f ca="1">IF(AND(ISNUMBER($W$235),$B$145=1),$W$235,HLOOKUP(INDIRECT(ADDRESS(2,COLUMN())),OFFSET($BN$2,0,0,ROW()-1,60),ROW()-1,FALSE))</f>
        <v>0</v>
      </c>
      <c r="X97">
        <f ca="1">IF(AND(ISNUMBER($X$235),$B$145=1),$X$235,HLOOKUP(INDIRECT(ADDRESS(2,COLUMN())),OFFSET($BN$2,0,0,ROW()-1,60),ROW()-1,FALSE))</f>
        <v>0</v>
      </c>
      <c r="Y97">
        <f ca="1">IF(AND(ISNUMBER($Y$235),$B$145=1),$Y$235,HLOOKUP(INDIRECT(ADDRESS(2,COLUMN())),OFFSET($BN$2,0,0,ROW()-1,60),ROW()-1,FALSE))</f>
        <v>0</v>
      </c>
      <c r="Z97">
        <f ca="1">IF(AND(ISNUMBER($Z$235),$B$145=1),$Z$235,HLOOKUP(INDIRECT(ADDRESS(2,COLUMN())),OFFSET($BN$2,0,0,ROW()-1,60),ROW()-1,FALSE))</f>
        <v>0</v>
      </c>
      <c r="AA97">
        <f ca="1">IF(AND(ISNUMBER($AA$235),$B$145=1),$AA$235,HLOOKUP(INDIRECT(ADDRESS(2,COLUMN())),OFFSET($BN$2,0,0,ROW()-1,60),ROW()-1,FALSE))</f>
        <v>0</v>
      </c>
      <c r="AB97">
        <f ca="1">IF(AND(ISNUMBER($AB$235),$B$145=1),$AB$235,HLOOKUP(INDIRECT(ADDRESS(2,COLUMN())),OFFSET($BN$2,0,0,ROW()-1,60),ROW()-1,FALSE))</f>
        <v>0</v>
      </c>
      <c r="AC97">
        <f ca="1">IF(AND(ISNUMBER($AC$235),$B$145=1),$AC$235,HLOOKUP(INDIRECT(ADDRESS(2,COLUMN())),OFFSET($BN$2,0,0,ROW()-1,60),ROW()-1,FALSE))</f>
        <v>0</v>
      </c>
      <c r="AD97">
        <f ca="1">IF(AND(ISNUMBER($AD$235),$B$145=1),$AD$235,HLOOKUP(INDIRECT(ADDRESS(2,COLUMN())),OFFSET($BN$2,0,0,ROW()-1,60),ROW()-1,FALSE))</f>
        <v>0</v>
      </c>
      <c r="AE97">
        <f ca="1">IF(AND(ISNUMBER($AE$235),$B$145=1),$AE$235,HLOOKUP(INDIRECT(ADDRESS(2,COLUMN())),OFFSET($BN$2,0,0,ROW()-1,60),ROW()-1,FALSE))</f>
        <v>0</v>
      </c>
      <c r="AF97">
        <f ca="1">IF(AND(ISNUMBER($AF$235),$B$145=1),$AF$235,HLOOKUP(INDIRECT(ADDRESS(2,COLUMN())),OFFSET($BN$2,0,0,ROW()-1,60),ROW()-1,FALSE))</f>
        <v>0</v>
      </c>
      <c r="AG97">
        <f ca="1">IF(AND(ISNUMBER($AG$235),$B$145=1),$AG$235,HLOOKUP(INDIRECT(ADDRESS(2,COLUMN())),OFFSET($BN$2,0,0,ROW()-1,60),ROW()-1,FALSE))</f>
        <v>0</v>
      </c>
      <c r="AH97">
        <f ca="1">IF(AND(ISNUMBER($AH$235),$B$145=1),$AH$235,HLOOKUP(INDIRECT(ADDRESS(2,COLUMN())),OFFSET($BN$2,0,0,ROW()-1,60),ROW()-1,FALSE))</f>
        <v>0</v>
      </c>
      <c r="AI97">
        <f ca="1">IF(AND(ISNUMBER($AI$235),$B$145=1),$AI$235,HLOOKUP(INDIRECT(ADDRESS(2,COLUMN())),OFFSET($BN$2,0,0,ROW()-1,60),ROW()-1,FALSE))</f>
        <v>0</v>
      </c>
      <c r="AJ97">
        <f ca="1">IF(AND(ISNUMBER($AJ$235),$B$145=1),$AJ$235,HLOOKUP(INDIRECT(ADDRESS(2,COLUMN())),OFFSET($BN$2,0,0,ROW()-1,60),ROW()-1,FALSE))</f>
        <v>0</v>
      </c>
      <c r="AK97">
        <f ca="1">IF(AND(ISNUMBER($AK$235),$B$145=1),$AK$235,HLOOKUP(INDIRECT(ADDRESS(2,COLUMN())),OFFSET($BN$2,0,0,ROW()-1,60),ROW()-1,FALSE))</f>
        <v>0</v>
      </c>
      <c r="AL97">
        <f ca="1">IF(AND(ISNUMBER($AL$235),$B$145=1),$AL$235,HLOOKUP(INDIRECT(ADDRESS(2,COLUMN())),OFFSET($BN$2,0,0,ROW()-1,60),ROW()-1,FALSE))</f>
        <v>0</v>
      </c>
      <c r="AM97">
        <f ca="1">IF(AND(ISNUMBER($AM$235),$B$145=1),$AM$235,HLOOKUP(INDIRECT(ADDRESS(2,COLUMN())),OFFSET($BN$2,0,0,ROW()-1,60),ROW()-1,FALSE))</f>
        <v>0</v>
      </c>
      <c r="AN97">
        <f ca="1">IF(AND(ISNUMBER($AN$235),$B$145=1),$AN$235,HLOOKUP(INDIRECT(ADDRESS(2,COLUMN())),OFFSET($BN$2,0,0,ROW()-1,60),ROW()-1,FALSE))</f>
        <v>0</v>
      </c>
      <c r="AO97">
        <f ca="1">IF(AND(ISNUMBER($AO$235),$B$145=1),$AO$235,HLOOKUP(INDIRECT(ADDRESS(2,COLUMN())),OFFSET($BN$2,0,0,ROW()-1,60),ROW()-1,FALSE))</f>
        <v>0</v>
      </c>
      <c r="AP97">
        <f ca="1">IF(AND(ISNUMBER($AP$235),$B$145=1),$AP$235,HLOOKUP(INDIRECT(ADDRESS(2,COLUMN())),OFFSET($BN$2,0,0,ROW()-1,60),ROW()-1,FALSE))</f>
        <v>0</v>
      </c>
      <c r="AQ97">
        <f ca="1">IF(AND(ISNUMBER($AQ$235),$B$145=1),$AQ$235,HLOOKUP(INDIRECT(ADDRESS(2,COLUMN())),OFFSET($BN$2,0,0,ROW()-1,60),ROW()-1,FALSE))</f>
        <v>0</v>
      </c>
      <c r="AR97">
        <f ca="1">IF(AND(ISNUMBER($AR$235),$B$145=1),$AR$235,HLOOKUP(INDIRECT(ADDRESS(2,COLUMN())),OFFSET($BN$2,0,0,ROW()-1,60),ROW()-1,FALSE))</f>
        <v>0</v>
      </c>
      <c r="AS97">
        <f ca="1">IF(AND(ISNUMBER($AS$235),$B$145=1),$AS$235,HLOOKUP(INDIRECT(ADDRESS(2,COLUMN())),OFFSET($BN$2,0,0,ROW()-1,60),ROW()-1,FALSE))</f>
        <v>0</v>
      </c>
      <c r="AT97">
        <f ca="1">IF(AND(ISNUMBER($AT$235),$B$145=1),$AT$235,HLOOKUP(INDIRECT(ADDRESS(2,COLUMN())),OFFSET($BN$2,0,0,ROW()-1,60),ROW()-1,FALSE))</f>
        <v>0</v>
      </c>
      <c r="AU97">
        <f ca="1">IF(AND(ISNUMBER($AU$235),$B$145=1),$AU$235,HLOOKUP(INDIRECT(ADDRESS(2,COLUMN())),OFFSET($BN$2,0,0,ROW()-1,60),ROW()-1,FALSE))</f>
        <v>0</v>
      </c>
      <c r="AV97">
        <f ca="1">IF(AND(ISNUMBER($AV$235),$B$145=1),$AV$235,HLOOKUP(INDIRECT(ADDRESS(2,COLUMN())),OFFSET($BN$2,0,0,ROW()-1,60),ROW()-1,FALSE))</f>
        <v>0</v>
      </c>
      <c r="AW97">
        <f ca="1">IF(AND(ISNUMBER($AW$235),$B$145=1),$AW$235,HLOOKUP(INDIRECT(ADDRESS(2,COLUMN())),OFFSET($BN$2,0,0,ROW()-1,60),ROW()-1,FALSE))</f>
        <v>0</v>
      </c>
      <c r="AX97">
        <f ca="1">IF(AND(ISNUMBER($AX$235),$B$145=1),$AX$235,HLOOKUP(INDIRECT(ADDRESS(2,COLUMN())),OFFSET($BN$2,0,0,ROW()-1,60),ROW()-1,FALSE))</f>
        <v>0</v>
      </c>
      <c r="AY97">
        <f ca="1">IF(AND(ISNUMBER($AY$235),$B$145=1),$AY$235,HLOOKUP(INDIRECT(ADDRESS(2,COLUMN())),OFFSET($BN$2,0,0,ROW()-1,60),ROW()-1,FALSE))</f>
        <v>0</v>
      </c>
      <c r="AZ97">
        <f ca="1">IF(AND(ISNUMBER($AZ$235),$B$145=1),$AZ$235,HLOOKUP(INDIRECT(ADDRESS(2,COLUMN())),OFFSET($BN$2,0,0,ROW()-1,60),ROW()-1,FALSE))</f>
        <v>0</v>
      </c>
      <c r="BA97">
        <f ca="1">IF(AND(ISNUMBER($BA$235),$B$145=1),$BA$235,HLOOKUP(INDIRECT(ADDRESS(2,COLUMN())),OFFSET($BN$2,0,0,ROW()-1,60),ROW()-1,FALSE))</f>
        <v>0</v>
      </c>
      <c r="BB97">
        <f ca="1">IF(AND(ISNUMBER($BB$235),$B$145=1),$BB$235,HLOOKUP(INDIRECT(ADDRESS(2,COLUMN())),OFFSET($BN$2,0,0,ROW()-1,60),ROW()-1,FALSE))</f>
        <v>0</v>
      </c>
      <c r="BC97">
        <f ca="1">IF(AND(ISNUMBER($BC$235),$B$145=1),$BC$235,HLOOKUP(INDIRECT(ADDRESS(2,COLUMN())),OFFSET($BN$2,0,0,ROW()-1,60),ROW()-1,FALSE))</f>
        <v>0</v>
      </c>
      <c r="BD97">
        <f ca="1">IF(AND(ISNUMBER($BD$235),$B$145=1),$BD$235,HLOOKUP(INDIRECT(ADDRESS(2,COLUMN())),OFFSET($BN$2,0,0,ROW()-1,60),ROW()-1,FALSE))</f>
        <v>0</v>
      </c>
      <c r="BE97">
        <f ca="1">IF(AND(ISNUMBER($BE$235),$B$145=1),$BE$235,HLOOKUP(INDIRECT(ADDRESS(2,COLUMN())),OFFSET($BN$2,0,0,ROW()-1,60),ROW()-1,FALSE))</f>
        <v>0</v>
      </c>
      <c r="BF97">
        <f ca="1">IF(AND(ISNUMBER($BF$235),$B$145=1),$BF$235,HLOOKUP(INDIRECT(ADDRESS(2,COLUMN())),OFFSET($BN$2,0,0,ROW()-1,60),ROW()-1,FALSE))</f>
        <v>0</v>
      </c>
      <c r="BG97">
        <f ca="1">IF(AND(ISNUMBER($BG$235),$B$145=1),$BG$235,HLOOKUP(INDIRECT(ADDRESS(2,COLUMN())),OFFSET($BN$2,0,0,ROW()-1,60),ROW()-1,FALSE))</f>
        <v>0</v>
      </c>
      <c r="BH97">
        <f ca="1">IF(AND(ISNUMBER($BH$235),$B$145=1),$BH$235,HLOOKUP(INDIRECT(ADDRESS(2,COLUMN())),OFFSET($BN$2,0,0,ROW()-1,60),ROW()-1,FALSE))</f>
        <v>0</v>
      </c>
      <c r="BI97">
        <f ca="1">IF(AND(ISNUMBER($BI$235),$B$145=1),$BI$235,HLOOKUP(INDIRECT(ADDRESS(2,COLUMN())),OFFSET($BN$2,0,0,ROW()-1,60),ROW()-1,FALSE))</f>
        <v>0</v>
      </c>
      <c r="BJ97">
        <f ca="1">IF(AND(ISNUMBER($BJ$235),$B$145=1),$BJ$235,HLOOKUP(INDIRECT(ADDRESS(2,COLUMN())),OFFSET($BN$2,0,0,ROW()-1,60),ROW()-1,FALSE))</f>
        <v>0</v>
      </c>
      <c r="BK97">
        <f ca="1">IF(AND(ISNUMBER($BK$235),$B$145=1),$BK$235,HLOOKUP(INDIRECT(ADDRESS(2,COLUMN())),OFFSET($BN$2,0,0,ROW()-1,60),ROW()-1,FALSE))</f>
        <v>0</v>
      </c>
      <c r="BL97">
        <f ca="1">IF(AND(ISNUMBER($BL$235),$B$145=1),$BL$235,HLOOKUP(INDIRECT(ADDRESS(2,COLUMN())),OFFSET($BN$2,0,0,ROW()-1,60),ROW()-1,FALSE))</f>
        <v>0</v>
      </c>
      <c r="BM97" t="str">
        <f ca="1">IF(AND(ISNUMBER($BM$235),$B$145=1),$BM$235,HLOOKUP(INDIRECT(ADDRESS(2,COLUMN())),OFFSET($BN$2,0,0,ROW()-1,60),ROW()-1,FALSE))</f>
        <v/>
      </c>
      <c r="BN97">
        <f>0</f>
        <v>0</v>
      </c>
      <c r="BO97">
        <f>0</f>
        <v>0</v>
      </c>
      <c r="BP97">
        <f>0</f>
        <v>0</v>
      </c>
      <c r="BQ97">
        <f>0</f>
        <v>0</v>
      </c>
      <c r="BR97">
        <f>0</f>
        <v>0</v>
      </c>
      <c r="BS97">
        <f>0</f>
        <v>0</v>
      </c>
      <c r="BT97">
        <f>0</f>
        <v>0</v>
      </c>
      <c r="BU97">
        <f>0</f>
        <v>0</v>
      </c>
      <c r="BV97">
        <f>0</f>
        <v>0</v>
      </c>
      <c r="BW97">
        <f>0</f>
        <v>0</v>
      </c>
      <c r="BX97">
        <f>0</f>
        <v>0</v>
      </c>
      <c r="BY97">
        <f>0</f>
        <v>0</v>
      </c>
      <c r="BZ97">
        <f>0</f>
        <v>0</v>
      </c>
      <c r="CA97">
        <f>0</f>
        <v>0</v>
      </c>
      <c r="CB97">
        <f>0</f>
        <v>0</v>
      </c>
      <c r="CC97">
        <f>0</f>
        <v>0</v>
      </c>
      <c r="CD97">
        <f>0</f>
        <v>0</v>
      </c>
      <c r="CE97">
        <f>0</f>
        <v>0</v>
      </c>
      <c r="CF97">
        <f>0</f>
        <v>0</v>
      </c>
      <c r="CG97">
        <f>0</f>
        <v>0</v>
      </c>
      <c r="CH97">
        <f>0</f>
        <v>0</v>
      </c>
      <c r="CI97">
        <f>0</f>
        <v>0</v>
      </c>
      <c r="CJ97">
        <f>0</f>
        <v>0</v>
      </c>
      <c r="CK97">
        <f>0</f>
        <v>0</v>
      </c>
      <c r="CL97">
        <f>0</f>
        <v>0</v>
      </c>
      <c r="CM97">
        <f>0</f>
        <v>0</v>
      </c>
      <c r="CN97">
        <f>0</f>
        <v>0</v>
      </c>
      <c r="CO97">
        <f>0</f>
        <v>0</v>
      </c>
      <c r="CP97">
        <f>0</f>
        <v>0</v>
      </c>
      <c r="CQ97">
        <f>0</f>
        <v>0</v>
      </c>
      <c r="CR97">
        <f>0</f>
        <v>0</v>
      </c>
      <c r="CS97">
        <f>0</f>
        <v>0</v>
      </c>
      <c r="CT97">
        <f>0</f>
        <v>0</v>
      </c>
      <c r="CU97">
        <f>0</f>
        <v>0</v>
      </c>
      <c r="CV97">
        <f>0</f>
        <v>0</v>
      </c>
      <c r="CW97">
        <f>0</f>
        <v>0</v>
      </c>
      <c r="CX97">
        <f>0</f>
        <v>0</v>
      </c>
      <c r="CY97">
        <f>0</f>
        <v>0</v>
      </c>
      <c r="CZ97">
        <f>0</f>
        <v>0</v>
      </c>
      <c r="DA97">
        <f>0</f>
        <v>0</v>
      </c>
      <c r="DB97">
        <f>0</f>
        <v>0</v>
      </c>
      <c r="DC97">
        <f>0</f>
        <v>0</v>
      </c>
      <c r="DD97">
        <f>0</f>
        <v>0</v>
      </c>
      <c r="DE97">
        <f>0</f>
        <v>0</v>
      </c>
      <c r="DF97">
        <f>0</f>
        <v>0</v>
      </c>
      <c r="DG97">
        <f>0</f>
        <v>0</v>
      </c>
      <c r="DH97">
        <f>0</f>
        <v>0</v>
      </c>
      <c r="DI97">
        <f>0</f>
        <v>0</v>
      </c>
      <c r="DJ97">
        <f>0</f>
        <v>0</v>
      </c>
      <c r="DK97">
        <f>0</f>
        <v>0</v>
      </c>
      <c r="DL97">
        <f>0</f>
        <v>0</v>
      </c>
      <c r="DM97">
        <f>0</f>
        <v>0</v>
      </c>
      <c r="DN97">
        <f>0</f>
        <v>0</v>
      </c>
      <c r="DO97">
        <f>0</f>
        <v>0</v>
      </c>
      <c r="DP97">
        <f>0</f>
        <v>0</v>
      </c>
      <c r="DQ97">
        <f>0</f>
        <v>0</v>
      </c>
      <c r="DR97">
        <f>0</f>
        <v>0</v>
      </c>
      <c r="DS97">
        <f>0</f>
        <v>0</v>
      </c>
      <c r="DT97">
        <f>0</f>
        <v>0</v>
      </c>
      <c r="DU97" t="str">
        <f>""</f>
        <v/>
      </c>
    </row>
    <row r="98" spans="1:125" x14ac:dyDescent="0.25">
      <c r="A98" t="str">
        <f>"            Huntington Bancshares Inc/OH"</f>
        <v xml:space="preserve">            Huntington Bancshares Inc/OH</v>
      </c>
      <c r="B98" t="str">
        <f>"HBAN US Equity"</f>
        <v>HBAN US Equity</v>
      </c>
      <c r="C98" t="str">
        <f t="shared" si="12"/>
        <v>FR531</v>
      </c>
      <c r="D98" t="str">
        <f t="shared" si="13"/>
        <v>FED_INVT_IN_RE_VENTURES</v>
      </c>
      <c r="E98" t="str">
        <f t="shared" si="14"/>
        <v>Dynamic</v>
      </c>
      <c r="F98">
        <f ca="1">IF(AND(ISNUMBER($F$236),$B$145=1),$F$236,HLOOKUP(INDIRECT(ADDRESS(2,COLUMN())),OFFSET($BN$2,0,0,ROW()-1,60),ROW()-1,FALSE))</f>
        <v>2434.2820000000002</v>
      </c>
      <c r="G98">
        <f ca="1">IF(AND(ISNUMBER($G$236),$B$145=1),$G$236,HLOOKUP(INDIRECT(ADDRESS(2,COLUMN())),OFFSET($BN$2,0,0,ROW()-1,60),ROW()-1,FALSE))</f>
        <v>2329.2240000000002</v>
      </c>
      <c r="H98">
        <f ca="1">IF(AND(ISNUMBER($H$236),$B$145=1),$H$236,HLOOKUP(INDIRECT(ADDRESS(2,COLUMN())),OFFSET($BN$2,0,0,ROW()-1,60),ROW()-1,FALSE))</f>
        <v>2477.0619999999999</v>
      </c>
      <c r="I98">
        <f ca="1">IF(AND(ISNUMBER($I$236),$B$145=1),$I$236,HLOOKUP(INDIRECT(ADDRESS(2,COLUMN())),OFFSET($BN$2,0,0,ROW()-1,60),ROW()-1,FALSE))</f>
        <v>2409.9670000000001</v>
      </c>
      <c r="J98">
        <f ca="1">IF(AND(ISNUMBER($J$236),$B$145=1),$J$236,HLOOKUP(INDIRECT(ADDRESS(2,COLUMN())),OFFSET($BN$2,0,0,ROW()-1,60),ROW()-1,FALSE))</f>
        <v>2358.4070000000002</v>
      </c>
      <c r="K98">
        <f ca="1">IF(AND(ISNUMBER($K$236),$B$145=1),$K$236,HLOOKUP(INDIRECT(ADDRESS(2,COLUMN())),OFFSET($BN$2,0,0,ROW()-1,60),ROW()-1,FALSE))</f>
        <v>2287.5839999999998</v>
      </c>
      <c r="L98">
        <f ca="1">IF(AND(ISNUMBER($L$236),$B$145=1),$L$236,HLOOKUP(INDIRECT(ADDRESS(2,COLUMN())),OFFSET($BN$2,0,0,ROW()-1,60),ROW()-1,FALSE))</f>
        <v>2243.451</v>
      </c>
      <c r="M98">
        <f ca="1">IF(AND(ISNUMBER($M$236),$B$145=1),$M$236,HLOOKUP(INDIRECT(ADDRESS(2,COLUMN())),OFFSET($BN$2,0,0,ROW()-1,60),ROW()-1,FALSE))</f>
        <v>2198.7550000000001</v>
      </c>
      <c r="N98">
        <f ca="1">IF(AND(ISNUMBER($N$236),$B$145=1),$N$236,HLOOKUP(INDIRECT(ADDRESS(2,COLUMN())),OFFSET($BN$2,0,0,ROW()-1,60),ROW()-1,FALSE))</f>
        <v>2157.08</v>
      </c>
      <c r="O98">
        <f ca="1">IF(AND(ISNUMBER($O$236),$B$145=1),$O$236,HLOOKUP(INDIRECT(ADDRESS(2,COLUMN())),OFFSET($BN$2,0,0,ROW()-1,60),ROW()-1,FALSE))</f>
        <v>1965.461</v>
      </c>
      <c r="P98">
        <f ca="1">IF(AND(ISNUMBER($P$236),$B$145=1),$P$236,HLOOKUP(INDIRECT(ADDRESS(2,COLUMN())),OFFSET($BN$2,0,0,ROW()-1,60),ROW()-1,FALSE))</f>
        <v>1787.143</v>
      </c>
      <c r="Q98">
        <f ca="1">IF(AND(ISNUMBER($Q$236),$B$145=1),$Q$236,HLOOKUP(INDIRECT(ADDRESS(2,COLUMN())),OFFSET($BN$2,0,0,ROW()-1,60),ROW()-1,FALSE))</f>
        <v>1739.5619999999999</v>
      </c>
      <c r="R98">
        <f ca="1">IF(AND(ISNUMBER($R$236),$B$145=1),$R$236,HLOOKUP(INDIRECT(ADDRESS(2,COLUMN())),OFFSET($BN$2,0,0,ROW()-1,60),ROW()-1,FALSE))</f>
        <v>1722.32</v>
      </c>
      <c r="S98">
        <f ca="1">IF(AND(ISNUMBER($S$236),$B$145=1),$S$236,HLOOKUP(INDIRECT(ADDRESS(2,COLUMN())),OFFSET($BN$2,0,0,ROW()-1,60),ROW()-1,FALSE))</f>
        <v>1504.9090000000001</v>
      </c>
      <c r="T98">
        <f ca="1">IF(AND(ISNUMBER($T$236),$B$145=1),$T$236,HLOOKUP(INDIRECT(ADDRESS(2,COLUMN())),OFFSET($BN$2,0,0,ROW()-1,60),ROW()-1,FALSE))</f>
        <v>1355.2629999999999</v>
      </c>
      <c r="U98">
        <f ca="1">IF(AND(ISNUMBER($U$236),$B$145=1),$U$236,HLOOKUP(INDIRECT(ADDRESS(2,COLUMN())),OFFSET($BN$2,0,0,ROW()-1,60),ROW()-1,FALSE))</f>
        <v>987.31399999999996</v>
      </c>
      <c r="V98">
        <f ca="1">IF(AND(ISNUMBER($V$236),$B$145=1),$V$236,HLOOKUP(INDIRECT(ADDRESS(2,COLUMN())),OFFSET($BN$2,0,0,ROW()-1,60),ROW()-1,FALSE))</f>
        <v>999.505</v>
      </c>
      <c r="W98">
        <f ca="1">IF(AND(ISNUMBER($W$236),$B$145=1),$W$236,HLOOKUP(INDIRECT(ADDRESS(2,COLUMN())),OFFSET($BN$2,0,0,ROW()-1,60),ROW()-1,FALSE))</f>
        <v>917.14</v>
      </c>
      <c r="X98">
        <f ca="1">IF(AND(ISNUMBER($X$236),$B$145=1),$X$236,HLOOKUP(INDIRECT(ADDRESS(2,COLUMN())),OFFSET($BN$2,0,0,ROW()-1,60),ROW()-1,FALSE))</f>
        <v>912.32600000000002</v>
      </c>
      <c r="Y98">
        <f ca="1">IF(AND(ISNUMBER($Y$236),$B$145=1),$Y$236,HLOOKUP(INDIRECT(ADDRESS(2,COLUMN())),OFFSET($BN$2,0,0,ROW()-1,60),ROW()-1,FALSE))</f>
        <v>858.73900000000003</v>
      </c>
      <c r="Z98">
        <f ca="1">IF(AND(ISNUMBER($Z$236),$B$145=1),$Z$236,HLOOKUP(INDIRECT(ADDRESS(2,COLUMN())),OFFSET($BN$2,0,0,ROW()-1,60),ROW()-1,FALSE))</f>
        <v>791.88599999999997</v>
      </c>
      <c r="AA98">
        <f ca="1">IF(AND(ISNUMBER($AA$236),$B$145=1),$AA$236,HLOOKUP(INDIRECT(ADDRESS(2,COLUMN())),OFFSET($BN$2,0,0,ROW()-1,60),ROW()-1,FALSE))</f>
        <v>789.92399999999998</v>
      </c>
      <c r="AB98">
        <f ca="1">IF(AND(ISNUMBER($AB$236),$B$145=1),$AB$236,HLOOKUP(INDIRECT(ADDRESS(2,COLUMN())),OFFSET($BN$2,0,0,ROW()-1,60),ROW()-1,FALSE))</f>
        <v>810.625</v>
      </c>
      <c r="AC98">
        <f ca="1">IF(AND(ISNUMBER($AC$236),$B$145=1),$AC$236,HLOOKUP(INDIRECT(ADDRESS(2,COLUMN())),OFFSET($BN$2,0,0,ROW()-1,60),ROW()-1,FALSE))</f>
        <v>762.45600000000002</v>
      </c>
      <c r="AD98">
        <f ca="1">IF(AND(ISNUMBER($AD$236),$B$145=1),$AD$236,HLOOKUP(INDIRECT(ADDRESS(2,COLUMN())),OFFSET($BN$2,0,0,ROW()-1,60),ROW()-1,FALSE))</f>
        <v>786.26800000000003</v>
      </c>
      <c r="AE98">
        <f ca="1">IF(AND(ISNUMBER($AE$236),$B$145=1),$AE$236,HLOOKUP(INDIRECT(ADDRESS(2,COLUMN())),OFFSET($BN$2,0,0,ROW()-1,60),ROW()-1,FALSE))</f>
        <v>774.28</v>
      </c>
      <c r="AF98">
        <f ca="1">IF(AND(ISNUMBER($AF$236),$B$145=1),$AF$236,HLOOKUP(INDIRECT(ADDRESS(2,COLUMN())),OFFSET($BN$2,0,0,ROW()-1,60),ROW()-1,FALSE))</f>
        <v>708.18899999999996</v>
      </c>
      <c r="AG98">
        <f ca="1">IF(AND(ISNUMBER($AG$236),$B$145=1),$AG$236,HLOOKUP(INDIRECT(ADDRESS(2,COLUMN())),OFFSET($BN$2,0,0,ROW()-1,60),ROW()-1,FALSE))</f>
        <v>710.38</v>
      </c>
      <c r="AH98">
        <f ca="1">IF(AND(ISNUMBER($AH$236),$B$145=1),$AH$236,HLOOKUP(INDIRECT(ADDRESS(2,COLUMN())),OFFSET($BN$2,0,0,ROW()-1,60),ROW()-1,FALSE))</f>
        <v>711.84100000000001</v>
      </c>
      <c r="AI98">
        <f ca="1">IF(AND(ISNUMBER($AI$236),$B$145=1),$AI$236,HLOOKUP(INDIRECT(ADDRESS(2,COLUMN())),OFFSET($BN$2,0,0,ROW()-1,60),ROW()-1,FALSE))</f>
        <v>715.69</v>
      </c>
      <c r="AJ98">
        <f ca="1">IF(AND(ISNUMBER($AJ$236),$B$145=1),$AJ$236,HLOOKUP(INDIRECT(ADDRESS(2,COLUMN())),OFFSET($BN$2,0,0,ROW()-1,60),ROW()-1,FALSE))</f>
        <v>692.98400000000004</v>
      </c>
      <c r="AK98">
        <f ca="1">IF(AND(ISNUMBER($AK$236),$B$145=1),$AK$236,HLOOKUP(INDIRECT(ADDRESS(2,COLUMN())),OFFSET($BN$2,0,0,ROW()-1,60),ROW()-1,FALSE))</f>
        <v>633.92100000000005</v>
      </c>
      <c r="AL98">
        <f ca="1">IF(AND(ISNUMBER($AL$236),$B$145=1),$AL$236,HLOOKUP(INDIRECT(ADDRESS(2,COLUMN())),OFFSET($BN$2,0,0,ROW()-1,60),ROW()-1,FALSE))</f>
        <v>651.976</v>
      </c>
      <c r="AM98">
        <f ca="1">IF(AND(ISNUMBER($AM$236),$B$145=1),$AM$236,HLOOKUP(INDIRECT(ADDRESS(2,COLUMN())),OFFSET($BN$2,0,0,ROW()-1,60),ROW()-1,FALSE))</f>
        <v>652.74099999999999</v>
      </c>
      <c r="AN98">
        <f ca="1">IF(AND(ISNUMBER($AN$236),$B$145=1),$AN$236,HLOOKUP(INDIRECT(ADDRESS(2,COLUMN())),OFFSET($BN$2,0,0,ROW()-1,60),ROW()-1,FALSE))</f>
        <v>538.43299999999999</v>
      </c>
      <c r="AO98">
        <f ca="1">IF(AND(ISNUMBER($AO$236),$B$145=1),$AO$236,HLOOKUP(INDIRECT(ADDRESS(2,COLUMN())),OFFSET($BN$2,0,0,ROW()-1,60),ROW()-1,FALSE))</f>
        <v>500.19299999999998</v>
      </c>
      <c r="AP98">
        <f ca="1">IF(AND(ISNUMBER($AP$236),$B$145=1),$AP$236,HLOOKUP(INDIRECT(ADDRESS(2,COLUMN())),OFFSET($BN$2,0,0,ROW()-1,60),ROW()-1,FALSE))</f>
        <v>515.91300000000001</v>
      </c>
      <c r="AQ98">
        <f ca="1">IF(AND(ISNUMBER($AQ$236),$B$145=1),$AQ$236,HLOOKUP(INDIRECT(ADDRESS(2,COLUMN())),OFFSET($BN$2,0,0,ROW()-1,60),ROW()-1,FALSE))</f>
        <v>465.00700000000001</v>
      </c>
      <c r="AR98">
        <f ca="1">IF(AND(ISNUMBER($AR$236),$B$145=1),$AR$236,HLOOKUP(INDIRECT(ADDRESS(2,COLUMN())),OFFSET($BN$2,0,0,ROW()-1,60),ROW()-1,FALSE))</f>
        <v>450.34100000000001</v>
      </c>
      <c r="AS98">
        <f ca="1">IF(AND(ISNUMBER($AS$236),$B$145=1),$AS$236,HLOOKUP(INDIRECT(ADDRESS(2,COLUMN())),OFFSET($BN$2,0,0,ROW()-1,60),ROW()-1,FALSE))</f>
        <v>412.30500000000001</v>
      </c>
      <c r="AT98">
        <f ca="1">IF(AND(ISNUMBER($AT$236),$B$145=1),$AT$236,HLOOKUP(INDIRECT(ADDRESS(2,COLUMN())),OFFSET($BN$2,0,0,ROW()-1,60),ROW()-1,FALSE))</f>
        <v>421.50900000000001</v>
      </c>
      <c r="AU98">
        <f ca="1">IF(AND(ISNUMBER($AU$236),$B$145=1),$AU$236,HLOOKUP(INDIRECT(ADDRESS(2,COLUMN())),OFFSET($BN$2,0,0,ROW()-1,60),ROW()-1,FALSE))</f>
        <v>393.70600000000002</v>
      </c>
      <c r="AV98">
        <f ca="1">IF(AND(ISNUMBER($AV$236),$B$145=1),$AV$236,HLOOKUP(INDIRECT(ADDRESS(2,COLUMN())),OFFSET($BN$2,0,0,ROW()-1,60),ROW()-1,FALSE))</f>
        <v>378.10199999999998</v>
      </c>
      <c r="AW98">
        <f ca="1">IF(AND(ISNUMBER($AW$236),$B$145=1),$AW$236,HLOOKUP(INDIRECT(ADDRESS(2,COLUMN())),OFFSET($BN$2,0,0,ROW()-1,60),ROW()-1,FALSE))</f>
        <v>355.149</v>
      </c>
      <c r="AX98">
        <f ca="1">IF(AND(ISNUMBER($AX$236),$B$145=1),$AX$236,HLOOKUP(INDIRECT(ADDRESS(2,COLUMN())),OFFSET($BN$2,0,0,ROW()-1,60),ROW()-1,FALSE))</f>
        <v>379.72</v>
      </c>
      <c r="AY98">
        <f ca="1">IF(AND(ISNUMBER($AY$236),$B$145=1),$AY$236,HLOOKUP(INDIRECT(ADDRESS(2,COLUMN())),OFFSET($BN$2,0,0,ROW()-1,60),ROW()-1,FALSE))</f>
        <v>357.536</v>
      </c>
      <c r="AZ98">
        <f ca="1">IF(AND(ISNUMBER($AZ$236),$B$145=1),$AZ$236,HLOOKUP(INDIRECT(ADDRESS(2,COLUMN())),OFFSET($BN$2,0,0,ROW()-1,60),ROW()-1,FALSE))</f>
        <v>339.75400000000002</v>
      </c>
      <c r="BA98">
        <f ca="1">IF(AND(ISNUMBER($BA$236),$B$145=1),$BA$236,HLOOKUP(INDIRECT(ADDRESS(2,COLUMN())),OFFSET($BN$2,0,0,ROW()-1,60),ROW()-1,FALSE))</f>
        <v>322.86700000000002</v>
      </c>
      <c r="BB98">
        <f ca="1">IF(AND(ISNUMBER($BB$236),$B$145=1),$BB$236,HLOOKUP(INDIRECT(ADDRESS(2,COLUMN())),OFFSET($BN$2,0,0,ROW()-1,60),ROW()-1,FALSE))</f>
        <v>386.62299999999999</v>
      </c>
      <c r="BC98">
        <f ca="1">IF(AND(ISNUMBER($BC$236),$B$145=1),$BC$236,HLOOKUP(INDIRECT(ADDRESS(2,COLUMN())),OFFSET($BN$2,0,0,ROW()-1,60),ROW()-1,FALSE))</f>
        <v>391.56299999999999</v>
      </c>
      <c r="BD98">
        <f ca="1">IF(AND(ISNUMBER($BD$236),$B$145=1),$BD$236,HLOOKUP(INDIRECT(ADDRESS(2,COLUMN())),OFFSET($BN$2,0,0,ROW()-1,60),ROW()-1,FALSE))</f>
        <v>378.21100000000001</v>
      </c>
      <c r="BE98">
        <f ca="1">IF(AND(ISNUMBER($BE$236),$B$145=1),$BE$236,HLOOKUP(INDIRECT(ADDRESS(2,COLUMN())),OFFSET($BN$2,0,0,ROW()-1,60),ROW()-1,FALSE))</f>
        <v>400.06099999999998</v>
      </c>
      <c r="BF98">
        <f ca="1">IF(AND(ISNUMBER($BF$236),$B$145=1),$BF$236,HLOOKUP(INDIRECT(ADDRESS(2,COLUMN())),OFFSET($BN$2,0,0,ROW()-1,60),ROW()-1,FALSE))</f>
        <v>399.77600000000001</v>
      </c>
      <c r="BG98">
        <f ca="1">IF(AND(ISNUMBER($BG$236),$B$145=1),$BG$236,HLOOKUP(INDIRECT(ADDRESS(2,COLUMN())),OFFSET($BN$2,0,0,ROW()-1,60),ROW()-1,FALSE))</f>
        <v>369.685</v>
      </c>
      <c r="BH98">
        <f ca="1">IF(AND(ISNUMBER($BH$236),$B$145=1),$BH$236,HLOOKUP(INDIRECT(ADDRESS(2,COLUMN())),OFFSET($BN$2,0,0,ROW()-1,60),ROW()-1,FALSE))</f>
        <v>350.53800000000001</v>
      </c>
      <c r="BI98">
        <f ca="1">IF(AND(ISNUMBER($BI$236),$B$145=1),$BI$236,HLOOKUP(INDIRECT(ADDRESS(2,COLUMN())),OFFSET($BN$2,0,0,ROW()-1,60),ROW()-1,FALSE))</f>
        <v>337.08100000000002</v>
      </c>
      <c r="BJ98">
        <f ca="1">IF(AND(ISNUMBER($BJ$236),$B$145=1),$BJ$236,HLOOKUP(INDIRECT(ADDRESS(2,COLUMN())),OFFSET($BN$2,0,0,ROW()-1,60),ROW()-1,FALSE))</f>
        <v>340.048</v>
      </c>
      <c r="BK98">
        <f ca="1">IF(AND(ISNUMBER($BK$236),$B$145=1),$BK$236,HLOOKUP(INDIRECT(ADDRESS(2,COLUMN())),OFFSET($BN$2,0,0,ROW()-1,60),ROW()-1,FALSE))</f>
        <v>293.041</v>
      </c>
      <c r="BL98">
        <f ca="1">IF(AND(ISNUMBER($BL$236),$B$145=1),$BL$236,HLOOKUP(INDIRECT(ADDRESS(2,COLUMN())),OFFSET($BN$2,0,0,ROW()-1,60),ROW()-1,FALSE))</f>
        <v>255.74600000000001</v>
      </c>
      <c r="BM98" t="str">
        <f ca="1">IF(AND(ISNUMBER($BM$236),$B$145=1),$BM$236,HLOOKUP(INDIRECT(ADDRESS(2,COLUMN())),OFFSET($BN$2,0,0,ROW()-1,60),ROW()-1,FALSE))</f>
        <v/>
      </c>
      <c r="BN98">
        <f>2434.282</f>
        <v>2434.2820000000002</v>
      </c>
      <c r="BO98">
        <f>2329.224</f>
        <v>2329.2240000000002</v>
      </c>
      <c r="BP98">
        <f>2477.062</f>
        <v>2477.0619999999999</v>
      </c>
      <c r="BQ98">
        <f>2409.967</f>
        <v>2409.9670000000001</v>
      </c>
      <c r="BR98">
        <f>2358.407</f>
        <v>2358.4070000000002</v>
      </c>
      <c r="BS98">
        <f>2287.584</f>
        <v>2287.5839999999998</v>
      </c>
      <c r="BT98">
        <f>2243.451</f>
        <v>2243.451</v>
      </c>
      <c r="BU98">
        <f>2198.755</f>
        <v>2198.7550000000001</v>
      </c>
      <c r="BV98">
        <f>2157.08</f>
        <v>2157.08</v>
      </c>
      <c r="BW98">
        <f>1965.461</f>
        <v>1965.461</v>
      </c>
      <c r="BX98">
        <f>1787.143</f>
        <v>1787.143</v>
      </c>
      <c r="BY98">
        <f>1739.562</f>
        <v>1739.5619999999999</v>
      </c>
      <c r="BZ98">
        <f>1722.32</f>
        <v>1722.32</v>
      </c>
      <c r="CA98">
        <f>1504.909</f>
        <v>1504.9090000000001</v>
      </c>
      <c r="CB98">
        <f>1355.263</f>
        <v>1355.2629999999999</v>
      </c>
      <c r="CC98">
        <f>987.314</f>
        <v>987.31399999999996</v>
      </c>
      <c r="CD98">
        <f>999.505</f>
        <v>999.505</v>
      </c>
      <c r="CE98">
        <f>917.14</f>
        <v>917.14</v>
      </c>
      <c r="CF98">
        <f>912.326</f>
        <v>912.32600000000002</v>
      </c>
      <c r="CG98">
        <f>858.739</f>
        <v>858.73900000000003</v>
      </c>
      <c r="CH98">
        <f>791.886</f>
        <v>791.88599999999997</v>
      </c>
      <c r="CI98">
        <f>789.924</f>
        <v>789.92399999999998</v>
      </c>
      <c r="CJ98">
        <f>810.625</f>
        <v>810.625</v>
      </c>
      <c r="CK98">
        <f>762.456</f>
        <v>762.45600000000002</v>
      </c>
      <c r="CL98">
        <f>786.268</f>
        <v>786.26800000000003</v>
      </c>
      <c r="CM98">
        <f>774.28</f>
        <v>774.28</v>
      </c>
      <c r="CN98">
        <f>708.189</f>
        <v>708.18899999999996</v>
      </c>
      <c r="CO98">
        <f>710.38</f>
        <v>710.38</v>
      </c>
      <c r="CP98">
        <f>711.841</f>
        <v>711.84100000000001</v>
      </c>
      <c r="CQ98">
        <f>715.69</f>
        <v>715.69</v>
      </c>
      <c r="CR98">
        <f>692.984</f>
        <v>692.98400000000004</v>
      </c>
      <c r="CS98">
        <f>633.921</f>
        <v>633.92100000000005</v>
      </c>
      <c r="CT98">
        <f>651.976</f>
        <v>651.976</v>
      </c>
      <c r="CU98">
        <f>652.741</f>
        <v>652.74099999999999</v>
      </c>
      <c r="CV98">
        <f>538.433</f>
        <v>538.43299999999999</v>
      </c>
      <c r="CW98">
        <f>500.193</f>
        <v>500.19299999999998</v>
      </c>
      <c r="CX98">
        <f>515.913</f>
        <v>515.91300000000001</v>
      </c>
      <c r="CY98">
        <f>465.007</f>
        <v>465.00700000000001</v>
      </c>
      <c r="CZ98">
        <f>450.341</f>
        <v>450.34100000000001</v>
      </c>
      <c r="DA98">
        <f>412.305</f>
        <v>412.30500000000001</v>
      </c>
      <c r="DB98">
        <f>421.509</f>
        <v>421.50900000000001</v>
      </c>
      <c r="DC98">
        <f>393.706</f>
        <v>393.70600000000002</v>
      </c>
      <c r="DD98">
        <f>378.102</f>
        <v>378.10199999999998</v>
      </c>
      <c r="DE98">
        <f>355.149</f>
        <v>355.149</v>
      </c>
      <c r="DF98">
        <f>379.72</f>
        <v>379.72</v>
      </c>
      <c r="DG98">
        <f>357.536</f>
        <v>357.536</v>
      </c>
      <c r="DH98">
        <f>339.754</f>
        <v>339.75400000000002</v>
      </c>
      <c r="DI98">
        <f>322.867</f>
        <v>322.86700000000002</v>
      </c>
      <c r="DJ98">
        <f>386.623</f>
        <v>386.62299999999999</v>
      </c>
      <c r="DK98">
        <f>391.563</f>
        <v>391.56299999999999</v>
      </c>
      <c r="DL98">
        <f>378.211</f>
        <v>378.21100000000001</v>
      </c>
      <c r="DM98">
        <f>400.061</f>
        <v>400.06099999999998</v>
      </c>
      <c r="DN98">
        <f>399.776</f>
        <v>399.77600000000001</v>
      </c>
      <c r="DO98">
        <f>369.685</f>
        <v>369.685</v>
      </c>
      <c r="DP98">
        <f>350.538</f>
        <v>350.53800000000001</v>
      </c>
      <c r="DQ98">
        <f>337.081</f>
        <v>337.08100000000002</v>
      </c>
      <c r="DR98">
        <f>340.048</f>
        <v>340.048</v>
      </c>
      <c r="DS98">
        <f>293.041</f>
        <v>293.041</v>
      </c>
      <c r="DT98">
        <f>255.746</f>
        <v>255.74600000000001</v>
      </c>
      <c r="DU98" t="str">
        <f>""</f>
        <v/>
      </c>
    </row>
    <row r="99" spans="1:125" x14ac:dyDescent="0.25">
      <c r="A99" t="str">
        <f>"            JPMorgan Chase &amp; Co"</f>
        <v xml:space="preserve">            JPMorgan Chase &amp; Co</v>
      </c>
      <c r="B99" t="str">
        <f>"JPM US Equity"</f>
        <v>JPM US Equity</v>
      </c>
      <c r="C99" t="str">
        <f t="shared" si="12"/>
        <v>FR531</v>
      </c>
      <c r="D99" t="str">
        <f t="shared" si="13"/>
        <v>FED_INVT_IN_RE_VENTURES</v>
      </c>
      <c r="E99" t="str">
        <f t="shared" si="14"/>
        <v>Dynamic</v>
      </c>
      <c r="F99">
        <f ca="1">IF(AND(ISNUMBER($F$237),$B$145=1),$F$237,HLOOKUP(INDIRECT(ADDRESS(2,COLUMN())),OFFSET($BN$2,0,0,ROW()-1,60),ROW()-1,FALSE))</f>
        <v>18465</v>
      </c>
      <c r="G99">
        <f ca="1">IF(AND(ISNUMBER($G$237),$B$145=1),$G$237,HLOOKUP(INDIRECT(ADDRESS(2,COLUMN())),OFFSET($BN$2,0,0,ROW()-1,60),ROW()-1,FALSE))</f>
        <v>17877</v>
      </c>
      <c r="H99">
        <f ca="1">IF(AND(ISNUMBER($H$237),$B$145=1),$H$237,HLOOKUP(INDIRECT(ADDRESS(2,COLUMN())),OFFSET($BN$2,0,0,ROW()-1,60),ROW()-1,FALSE))</f>
        <v>17024</v>
      </c>
      <c r="I99">
        <f ca="1">IF(AND(ISNUMBER($I$237),$B$145=1),$I$237,HLOOKUP(INDIRECT(ADDRESS(2,COLUMN())),OFFSET($BN$2,0,0,ROW()-1,60),ROW()-1,FALSE))</f>
        <v>17000</v>
      </c>
      <c r="J99">
        <f ca="1">IF(AND(ISNUMBER($J$237),$B$145=1),$J$237,HLOOKUP(INDIRECT(ADDRESS(2,COLUMN())),OFFSET($BN$2,0,0,ROW()-1,60),ROW()-1,FALSE))</f>
        <v>17707</v>
      </c>
      <c r="K99">
        <f ca="1">IF(AND(ISNUMBER($K$237),$B$145=1),$K$237,HLOOKUP(INDIRECT(ADDRESS(2,COLUMN())),OFFSET($BN$2,0,0,ROW()-1,60),ROW()-1,FALSE))</f>
        <v>16685</v>
      </c>
      <c r="L99">
        <f ca="1">IF(AND(ISNUMBER($L$237),$B$145=1),$L$237,HLOOKUP(INDIRECT(ADDRESS(2,COLUMN())),OFFSET($BN$2,0,0,ROW()-1,60),ROW()-1,FALSE))</f>
        <v>16463</v>
      </c>
      <c r="M99">
        <f ca="1">IF(AND(ISNUMBER($M$237),$B$145=1),$M$237,HLOOKUP(INDIRECT(ADDRESS(2,COLUMN())),OFFSET($BN$2,0,0,ROW()-1,60),ROW()-1,FALSE))</f>
        <v>14584</v>
      </c>
      <c r="N99">
        <f ca="1">IF(AND(ISNUMBER($N$237),$B$145=1),$N$237,HLOOKUP(INDIRECT(ADDRESS(2,COLUMN())),OFFSET($BN$2,0,0,ROW()-1,60),ROW()-1,FALSE))</f>
        <v>14583</v>
      </c>
      <c r="O99">
        <f ca="1">IF(AND(ISNUMBER($O$237),$B$145=1),$O$237,HLOOKUP(INDIRECT(ADDRESS(2,COLUMN())),OFFSET($BN$2,0,0,ROW()-1,60),ROW()-1,FALSE))</f>
        <v>14039</v>
      </c>
      <c r="P99">
        <f ca="1">IF(AND(ISNUMBER($P$237),$B$145=1),$P$237,HLOOKUP(INDIRECT(ADDRESS(2,COLUMN())),OFFSET($BN$2,0,0,ROW()-1,60),ROW()-1,FALSE))</f>
        <v>13660</v>
      </c>
      <c r="Q99">
        <f ca="1">IF(AND(ISNUMBER($Q$237),$B$145=1),$Q$237,HLOOKUP(INDIRECT(ADDRESS(2,COLUMN())),OFFSET($BN$2,0,0,ROW()-1,60),ROW()-1,FALSE))</f>
        <v>13438</v>
      </c>
      <c r="R99">
        <f ca="1">IF(AND(ISNUMBER($R$237),$B$145=1),$R$237,HLOOKUP(INDIRECT(ADDRESS(2,COLUMN())),OFFSET($BN$2,0,0,ROW()-1,60),ROW()-1,FALSE))</f>
        <v>13220</v>
      </c>
      <c r="S99">
        <f ca="1">IF(AND(ISNUMBER($S$237),$B$145=1),$S$237,HLOOKUP(INDIRECT(ADDRESS(2,COLUMN())),OFFSET($BN$2,0,0,ROW()-1,60),ROW()-1,FALSE))</f>
        <v>12001</v>
      </c>
      <c r="T99">
        <f ca="1">IF(AND(ISNUMBER($T$237),$B$145=1),$T$237,HLOOKUP(INDIRECT(ADDRESS(2,COLUMN())),OFFSET($BN$2,0,0,ROW()-1,60),ROW()-1,FALSE))</f>
        <v>11416</v>
      </c>
      <c r="U99">
        <f ca="1">IF(AND(ISNUMBER($U$237),$B$145=1),$U$237,HLOOKUP(INDIRECT(ADDRESS(2,COLUMN())),OFFSET($BN$2,0,0,ROW()-1,60),ROW()-1,FALSE))</f>
        <v>11435</v>
      </c>
      <c r="V99">
        <f ca="1">IF(AND(ISNUMBER($V$237),$B$145=1),$V$237,HLOOKUP(INDIRECT(ADDRESS(2,COLUMN())),OFFSET($BN$2,0,0,ROW()-1,60),ROW()-1,FALSE))</f>
        <v>11844</v>
      </c>
      <c r="W99">
        <f ca="1">IF(AND(ISNUMBER($W$237),$B$145=1),$W$237,HLOOKUP(INDIRECT(ADDRESS(2,COLUMN())),OFFSET($BN$2,0,0,ROW()-1,60),ROW()-1,FALSE))</f>
        <v>10882</v>
      </c>
      <c r="X99">
        <f ca="1">IF(AND(ISNUMBER($X$237),$B$145=1),$X$237,HLOOKUP(INDIRECT(ADDRESS(2,COLUMN())),OFFSET($BN$2,0,0,ROW()-1,60),ROW()-1,FALSE))</f>
        <v>11074</v>
      </c>
      <c r="Y99">
        <f ca="1">IF(AND(ISNUMBER($Y$237),$B$145=1),$Y$237,HLOOKUP(INDIRECT(ADDRESS(2,COLUMN())),OFFSET($BN$2,0,0,ROW()-1,60),ROW()-1,FALSE))</f>
        <v>10891</v>
      </c>
      <c r="Z99">
        <f ca="1">IF(AND(ISNUMBER($Z$237),$B$145=1),$Z$237,HLOOKUP(INDIRECT(ADDRESS(2,COLUMN())),OFFSET($BN$2,0,0,ROW()-1,60),ROW()-1,FALSE))</f>
        <v>10607</v>
      </c>
      <c r="AA99">
        <f ca="1">IF(AND(ISNUMBER($AA$237),$B$145=1),$AA$237,HLOOKUP(INDIRECT(ADDRESS(2,COLUMN())),OFFSET($BN$2,0,0,ROW()-1,60),ROW()-1,FALSE))</f>
        <v>10283</v>
      </c>
      <c r="AB99">
        <f ca="1">IF(AND(ISNUMBER($AB$237),$B$145=1),$AB$237,HLOOKUP(INDIRECT(ADDRESS(2,COLUMN())),OFFSET($BN$2,0,0,ROW()-1,60),ROW()-1,FALSE))</f>
        <v>9860</v>
      </c>
      <c r="AC99">
        <f ca="1">IF(AND(ISNUMBER($AC$237),$B$145=1),$AC$237,HLOOKUP(INDIRECT(ADDRESS(2,COLUMN())),OFFSET($BN$2,0,0,ROW()-1,60),ROW()-1,FALSE))</f>
        <v>9145</v>
      </c>
      <c r="AD99">
        <f ca="1">IF(AND(ISNUMBER($AD$237),$B$145=1),$AD$237,HLOOKUP(INDIRECT(ADDRESS(2,COLUMN())),OFFSET($BN$2,0,0,ROW()-1,60),ROW()-1,FALSE))</f>
        <v>9067</v>
      </c>
      <c r="AE99">
        <f ca="1">IF(AND(ISNUMBER($AE$237),$B$145=1),$AE$237,HLOOKUP(INDIRECT(ADDRESS(2,COLUMN())),OFFSET($BN$2,0,0,ROW()-1,60),ROW()-1,FALSE))</f>
        <v>8780</v>
      </c>
      <c r="AF99">
        <f ca="1">IF(AND(ISNUMBER($AF$237),$B$145=1),$AF$237,HLOOKUP(INDIRECT(ADDRESS(2,COLUMN())),OFFSET($BN$2,0,0,ROW()-1,60),ROW()-1,FALSE))</f>
        <v>8682</v>
      </c>
      <c r="AG99">
        <f ca="1">IF(AND(ISNUMBER($AG$237),$B$145=1),$AG$237,HLOOKUP(INDIRECT(ADDRESS(2,COLUMN())),OFFSET($BN$2,0,0,ROW()-1,60),ROW()-1,FALSE))</f>
        <v>8844</v>
      </c>
      <c r="AH99">
        <f ca="1">IF(AND(ISNUMBER($AH$237),$B$145=1),$AH$237,HLOOKUP(INDIRECT(ADDRESS(2,COLUMN())),OFFSET($BN$2,0,0,ROW()-1,60),ROW()-1,FALSE))</f>
        <v>8344</v>
      </c>
      <c r="AI99">
        <f ca="1">IF(AND(ISNUMBER($AI$237),$B$145=1),$AI$237,HLOOKUP(INDIRECT(ADDRESS(2,COLUMN())),OFFSET($BN$2,0,0,ROW()-1,60),ROW()-1,FALSE))</f>
        <v>8881</v>
      </c>
      <c r="AJ99">
        <f ca="1">IF(AND(ISNUMBER($AJ$237),$B$145=1),$AJ$237,HLOOKUP(INDIRECT(ADDRESS(2,COLUMN())),OFFSET($BN$2,0,0,ROW()-1,60),ROW()-1,FALSE))</f>
        <v>9038</v>
      </c>
      <c r="AK99">
        <f ca="1">IF(AND(ISNUMBER($AK$237),$B$145=1),$AK$237,HLOOKUP(INDIRECT(ADDRESS(2,COLUMN())),OFFSET($BN$2,0,0,ROW()-1,60),ROW()-1,FALSE))</f>
        <v>9401</v>
      </c>
      <c r="AL99">
        <f ca="1">IF(AND(ISNUMBER($AL$237),$B$145=1),$AL$237,HLOOKUP(INDIRECT(ADDRESS(2,COLUMN())),OFFSET($BN$2,0,0,ROW()-1,60),ROW()-1,FALSE))</f>
        <v>9508</v>
      </c>
      <c r="AM99">
        <f ca="1">IF(AND(ISNUMBER($AM$237),$B$145=1),$AM$237,HLOOKUP(INDIRECT(ADDRESS(2,COLUMN())),OFFSET($BN$2,0,0,ROW()-1,60),ROW()-1,FALSE))</f>
        <v>8958</v>
      </c>
      <c r="AN99">
        <f ca="1">IF(AND(ISNUMBER($AN$237),$B$145=1),$AN$237,HLOOKUP(INDIRECT(ADDRESS(2,COLUMN())),OFFSET($BN$2,0,0,ROW()-1,60),ROW()-1,FALSE))</f>
        <v>8819</v>
      </c>
      <c r="AO99">
        <f ca="1">IF(AND(ISNUMBER($AO$237),$B$145=1),$AO$237,HLOOKUP(INDIRECT(ADDRESS(2,COLUMN())),OFFSET($BN$2,0,0,ROW()-1,60),ROW()-1,FALSE))</f>
        <v>8490</v>
      </c>
      <c r="AP99">
        <f ca="1">IF(AND(ISNUMBER($AP$237),$B$145=1),$AP$237,HLOOKUP(INDIRECT(ADDRESS(2,COLUMN())),OFFSET($BN$2,0,0,ROW()-1,60),ROW()-1,FALSE))</f>
        <v>8510</v>
      </c>
      <c r="AQ99">
        <f ca="1">IF(AND(ISNUMBER($AQ$237),$B$145=1),$AQ$237,HLOOKUP(INDIRECT(ADDRESS(2,COLUMN())),OFFSET($BN$2,0,0,ROW()-1,60),ROW()-1,FALSE))</f>
        <v>8270</v>
      </c>
      <c r="AR99">
        <f ca="1">IF(AND(ISNUMBER($AR$237),$B$145=1),$AR$237,HLOOKUP(INDIRECT(ADDRESS(2,COLUMN())),OFFSET($BN$2,0,0,ROW()-1,60),ROW()-1,FALSE))</f>
        <v>8096</v>
      </c>
      <c r="AS99">
        <f ca="1">IF(AND(ISNUMBER($AS$237),$B$145=1),$AS$237,HLOOKUP(INDIRECT(ADDRESS(2,COLUMN())),OFFSET($BN$2,0,0,ROW()-1,60),ROW()-1,FALSE))</f>
        <v>7870</v>
      </c>
      <c r="AT99">
        <f ca="1">IF(AND(ISNUMBER($AT$237),$B$145=1),$AT$237,HLOOKUP(INDIRECT(ADDRESS(2,COLUMN())),OFFSET($BN$2,0,0,ROW()-1,60),ROW()-1,FALSE))</f>
        <v>8056</v>
      </c>
      <c r="AU99">
        <f ca="1">IF(AND(ISNUMBER($AU$237),$B$145=1),$AU$237,HLOOKUP(INDIRECT(ADDRESS(2,COLUMN())),OFFSET($BN$2,0,0,ROW()-1,60),ROW()-1,FALSE))</f>
        <v>7848</v>
      </c>
      <c r="AV99">
        <f ca="1">IF(AND(ISNUMBER($AV$237),$B$145=1),$AV$237,HLOOKUP(INDIRECT(ADDRESS(2,COLUMN())),OFFSET($BN$2,0,0,ROW()-1,60),ROW()-1,FALSE))</f>
        <v>7881</v>
      </c>
      <c r="AW99">
        <f ca="1">IF(AND(ISNUMBER($AW$237),$B$145=1),$AW$237,HLOOKUP(INDIRECT(ADDRESS(2,COLUMN())),OFFSET($BN$2,0,0,ROW()-1,60),ROW()-1,FALSE))</f>
        <v>6836</v>
      </c>
      <c r="AX99">
        <f ca="1">IF(AND(ISNUMBER($AX$237),$B$145=1),$AX$237,HLOOKUP(INDIRECT(ADDRESS(2,COLUMN())),OFFSET($BN$2,0,0,ROW()-1,60),ROW()-1,FALSE))</f>
        <v>6815</v>
      </c>
      <c r="AY99">
        <f ca="1">IF(AND(ISNUMBER($AY$237),$B$145=1),$AY$237,HLOOKUP(INDIRECT(ADDRESS(2,COLUMN())),OFFSET($BN$2,0,0,ROW()-1,60),ROW()-1,FALSE))</f>
        <v>6680</v>
      </c>
      <c r="AZ99">
        <f ca="1">IF(AND(ISNUMBER($AZ$237),$B$145=1),$AZ$237,HLOOKUP(INDIRECT(ADDRESS(2,COLUMN())),OFFSET($BN$2,0,0,ROW()-1,60),ROW()-1,FALSE))</f>
        <v>1198</v>
      </c>
      <c r="BA99">
        <f ca="1">IF(AND(ISNUMBER($BA$237),$B$145=1),$BA$237,HLOOKUP(INDIRECT(ADDRESS(2,COLUMN())),OFFSET($BN$2,0,0,ROW()-1,60),ROW()-1,FALSE))</f>
        <v>1277</v>
      </c>
      <c r="BB99">
        <f ca="1">IF(AND(ISNUMBER($BB$237),$B$145=1),$BB$237,HLOOKUP(INDIRECT(ADDRESS(2,COLUMN())),OFFSET($BN$2,0,0,ROW()-1,60),ROW()-1,FALSE))</f>
        <v>1356</v>
      </c>
      <c r="BC99">
        <f ca="1">IF(AND(ISNUMBER($BC$237),$B$145=1),$BC$237,HLOOKUP(INDIRECT(ADDRESS(2,COLUMN())),OFFSET($BN$2,0,0,ROW()-1,60),ROW()-1,FALSE))</f>
        <v>1443</v>
      </c>
      <c r="BD99">
        <f ca="1">IF(AND(ISNUMBER($BD$237),$B$145=1),$BD$237,HLOOKUP(INDIRECT(ADDRESS(2,COLUMN())),OFFSET($BN$2,0,0,ROW()-1,60),ROW()-1,FALSE))</f>
        <v>1526</v>
      </c>
      <c r="BE99">
        <f ca="1">IF(AND(ISNUMBER($BE$237),$B$145=1),$BE$237,HLOOKUP(INDIRECT(ADDRESS(2,COLUMN())),OFFSET($BN$2,0,0,ROW()-1,60),ROW()-1,FALSE))</f>
        <v>1608</v>
      </c>
      <c r="BF99">
        <f ca="1">IF(AND(ISNUMBER($BF$237),$B$145=1),$BF$237,HLOOKUP(INDIRECT(ADDRESS(2,COLUMN())),OFFSET($BN$2,0,0,ROW()-1,60),ROW()-1,FALSE))</f>
        <v>1686</v>
      </c>
      <c r="BG99">
        <f ca="1">IF(AND(ISNUMBER($BG$237),$B$145=1),$BG$237,HLOOKUP(INDIRECT(ADDRESS(2,COLUMN())),OFFSET($BN$2,0,0,ROW()-1,60),ROW()-1,FALSE))</f>
        <v>1778</v>
      </c>
      <c r="BH99">
        <f ca="1">IF(AND(ISNUMBER($BH$237),$B$145=1),$BH$237,HLOOKUP(INDIRECT(ADDRESS(2,COLUMN())),OFFSET($BN$2,0,0,ROW()-1,60),ROW()-1,FALSE))</f>
        <v>1861</v>
      </c>
      <c r="BI99">
        <f ca="1">IF(AND(ISNUMBER($BI$237),$B$145=1),$BI$237,HLOOKUP(INDIRECT(ADDRESS(2,COLUMN())),OFFSET($BN$2,0,0,ROW()-1,60),ROW()-1,FALSE))</f>
        <v>1943</v>
      </c>
      <c r="BJ99">
        <f ca="1">IF(AND(ISNUMBER($BJ$237),$B$145=1),$BJ$237,HLOOKUP(INDIRECT(ADDRESS(2,COLUMN())),OFFSET($BN$2,0,0,ROW()-1,60),ROW()-1,FALSE))</f>
        <v>2022</v>
      </c>
      <c r="BK99">
        <f ca="1">IF(AND(ISNUMBER($BK$237),$B$145=1),$BK$237,HLOOKUP(INDIRECT(ADDRESS(2,COLUMN())),OFFSET($BN$2,0,0,ROW()-1,60),ROW()-1,FALSE))</f>
        <v>2084</v>
      </c>
      <c r="BL99">
        <f ca="1">IF(AND(ISNUMBER($BL$237),$B$145=1),$BL$237,HLOOKUP(INDIRECT(ADDRESS(2,COLUMN())),OFFSET($BN$2,0,0,ROW()-1,60),ROW()-1,FALSE))</f>
        <v>2168</v>
      </c>
      <c r="BM99" t="str">
        <f ca="1">IF(AND(ISNUMBER($BM$237),$B$145=1),$BM$237,HLOOKUP(INDIRECT(ADDRESS(2,COLUMN())),OFFSET($BN$2,0,0,ROW()-1,60),ROW()-1,FALSE))</f>
        <v/>
      </c>
      <c r="BN99">
        <f>18465</f>
        <v>18465</v>
      </c>
      <c r="BO99">
        <f>17877</f>
        <v>17877</v>
      </c>
      <c r="BP99">
        <f>17024</f>
        <v>17024</v>
      </c>
      <c r="BQ99">
        <f>17000</f>
        <v>17000</v>
      </c>
      <c r="BR99">
        <f>17707</f>
        <v>17707</v>
      </c>
      <c r="BS99">
        <f>16685</f>
        <v>16685</v>
      </c>
      <c r="BT99">
        <f>16463</f>
        <v>16463</v>
      </c>
      <c r="BU99">
        <f>14584</f>
        <v>14584</v>
      </c>
      <c r="BV99">
        <f>14583</f>
        <v>14583</v>
      </c>
      <c r="BW99">
        <f>14039</f>
        <v>14039</v>
      </c>
      <c r="BX99">
        <f>13660</f>
        <v>13660</v>
      </c>
      <c r="BY99">
        <f>13438</f>
        <v>13438</v>
      </c>
      <c r="BZ99">
        <f>13220</f>
        <v>13220</v>
      </c>
      <c r="CA99">
        <f>12001</f>
        <v>12001</v>
      </c>
      <c r="CB99">
        <f>11416</f>
        <v>11416</v>
      </c>
      <c r="CC99">
        <f>11435</f>
        <v>11435</v>
      </c>
      <c r="CD99">
        <f>11844</f>
        <v>11844</v>
      </c>
      <c r="CE99">
        <f>10882</f>
        <v>10882</v>
      </c>
      <c r="CF99">
        <f>11074</f>
        <v>11074</v>
      </c>
      <c r="CG99">
        <f>10891</f>
        <v>10891</v>
      </c>
      <c r="CH99">
        <f>10607</f>
        <v>10607</v>
      </c>
      <c r="CI99">
        <f>10283</f>
        <v>10283</v>
      </c>
      <c r="CJ99">
        <f>9860</f>
        <v>9860</v>
      </c>
      <c r="CK99">
        <f>9145</f>
        <v>9145</v>
      </c>
      <c r="CL99">
        <f>9067</f>
        <v>9067</v>
      </c>
      <c r="CM99">
        <f>8780</f>
        <v>8780</v>
      </c>
      <c r="CN99">
        <f>8682</f>
        <v>8682</v>
      </c>
      <c r="CO99">
        <f>8844</f>
        <v>8844</v>
      </c>
      <c r="CP99">
        <f>8344</f>
        <v>8344</v>
      </c>
      <c r="CQ99">
        <f>8881</f>
        <v>8881</v>
      </c>
      <c r="CR99">
        <f>9038</f>
        <v>9038</v>
      </c>
      <c r="CS99">
        <f>9401</f>
        <v>9401</v>
      </c>
      <c r="CT99">
        <f>9508</f>
        <v>9508</v>
      </c>
      <c r="CU99">
        <f>8958</f>
        <v>8958</v>
      </c>
      <c r="CV99">
        <f>8819</f>
        <v>8819</v>
      </c>
      <c r="CW99">
        <f>8490</f>
        <v>8490</v>
      </c>
      <c r="CX99">
        <f>8510</f>
        <v>8510</v>
      </c>
      <c r="CY99">
        <f>8270</f>
        <v>8270</v>
      </c>
      <c r="CZ99">
        <f>8096</f>
        <v>8096</v>
      </c>
      <c r="DA99">
        <f>7870</f>
        <v>7870</v>
      </c>
      <c r="DB99">
        <f>8056</f>
        <v>8056</v>
      </c>
      <c r="DC99">
        <f>7848</f>
        <v>7848</v>
      </c>
      <c r="DD99">
        <f>7881</f>
        <v>7881</v>
      </c>
      <c r="DE99">
        <f>6836</f>
        <v>6836</v>
      </c>
      <c r="DF99">
        <f>6815</f>
        <v>6815</v>
      </c>
      <c r="DG99">
        <f>6680</f>
        <v>6680</v>
      </c>
      <c r="DH99">
        <f>1198</f>
        <v>1198</v>
      </c>
      <c r="DI99">
        <f>1277</f>
        <v>1277</v>
      </c>
      <c r="DJ99">
        <f>1356</f>
        <v>1356</v>
      </c>
      <c r="DK99">
        <f>1443</f>
        <v>1443</v>
      </c>
      <c r="DL99">
        <f>1526</f>
        <v>1526</v>
      </c>
      <c r="DM99">
        <f>1608</f>
        <v>1608</v>
      </c>
      <c r="DN99">
        <f>1686</f>
        <v>1686</v>
      </c>
      <c r="DO99">
        <f>1778</f>
        <v>1778</v>
      </c>
      <c r="DP99">
        <f>1861</f>
        <v>1861</v>
      </c>
      <c r="DQ99">
        <f>1943</f>
        <v>1943</v>
      </c>
      <c r="DR99">
        <f>2022</f>
        <v>2022</v>
      </c>
      <c r="DS99">
        <f>2084</f>
        <v>2084</v>
      </c>
      <c r="DT99">
        <f>2168</f>
        <v>2168</v>
      </c>
      <c r="DU99" t="str">
        <f>""</f>
        <v/>
      </c>
    </row>
    <row r="100" spans="1:125" x14ac:dyDescent="0.25">
      <c r="A100" t="str">
        <f>"            KeyCorp"</f>
        <v xml:space="preserve">            KeyCorp</v>
      </c>
      <c r="B100" t="str">
        <f>"KEY US Equity"</f>
        <v>KEY US Equity</v>
      </c>
      <c r="C100" t="str">
        <f t="shared" si="12"/>
        <v>FR531</v>
      </c>
      <c r="D100" t="str">
        <f t="shared" si="13"/>
        <v>FED_INVT_IN_RE_VENTURES</v>
      </c>
      <c r="E100" t="str">
        <f t="shared" si="14"/>
        <v>Dynamic</v>
      </c>
      <c r="F100">
        <f ca="1">IF(AND(ISNUMBER($F$238),$B$145=1),$F$238,HLOOKUP(INDIRECT(ADDRESS(2,COLUMN())),OFFSET($BN$2,0,0,ROW()-1,60),ROW()-1,FALSE))</f>
        <v>2566.3420000000001</v>
      </c>
      <c r="G100">
        <f ca="1">IF(AND(ISNUMBER($G$238),$B$145=1),$G$238,HLOOKUP(INDIRECT(ADDRESS(2,COLUMN())),OFFSET($BN$2,0,0,ROW()-1,60),ROW()-1,FALSE))</f>
        <v>2216.7190000000001</v>
      </c>
      <c r="H100">
        <f ca="1">IF(AND(ISNUMBER($H$238),$B$145=1),$H$238,HLOOKUP(INDIRECT(ADDRESS(2,COLUMN())),OFFSET($BN$2,0,0,ROW()-1,60),ROW()-1,FALSE))</f>
        <v>2186.6080000000002</v>
      </c>
      <c r="I100">
        <f ca="1">IF(AND(ISNUMBER($I$238),$B$145=1),$I$238,HLOOKUP(INDIRECT(ADDRESS(2,COLUMN())),OFFSET($BN$2,0,0,ROW()-1,60),ROW()-1,FALSE))</f>
        <v>2188.1460000000002</v>
      </c>
      <c r="J100">
        <f ca="1">IF(AND(ISNUMBER($J$238),$B$145=1),$J$238,HLOOKUP(INDIRECT(ADDRESS(2,COLUMN())),OFFSET($BN$2,0,0,ROW()-1,60),ROW()-1,FALSE))</f>
        <v>2341.8180000000002</v>
      </c>
      <c r="K100">
        <f ca="1">IF(AND(ISNUMBER($K$238),$B$145=1),$K$238,HLOOKUP(INDIRECT(ADDRESS(2,COLUMN())),OFFSET($BN$2,0,0,ROW()-1,60),ROW()-1,FALSE))</f>
        <v>2118.326</v>
      </c>
      <c r="L100">
        <f ca="1">IF(AND(ISNUMBER($L$238),$B$145=1),$L$238,HLOOKUP(INDIRECT(ADDRESS(2,COLUMN())),OFFSET($BN$2,0,0,ROW()-1,60),ROW()-1,FALSE))</f>
        <v>2195.473</v>
      </c>
      <c r="M100">
        <f ca="1">IF(AND(ISNUMBER($M$238),$B$145=1),$M$238,HLOOKUP(INDIRECT(ADDRESS(2,COLUMN())),OFFSET($BN$2,0,0,ROW()-1,60),ROW()-1,FALSE))</f>
        <v>2080.6840000000002</v>
      </c>
      <c r="N100">
        <f ca="1">IF(AND(ISNUMBER($N$238),$B$145=1),$N$238,HLOOKUP(INDIRECT(ADDRESS(2,COLUMN())),OFFSET($BN$2,0,0,ROW()-1,60),ROW()-1,FALSE))</f>
        <v>1879.972</v>
      </c>
      <c r="O100">
        <f ca="1">IF(AND(ISNUMBER($O$238),$B$145=1),$O$238,HLOOKUP(INDIRECT(ADDRESS(2,COLUMN())),OFFSET($BN$2,0,0,ROW()-1,60),ROW()-1,FALSE))</f>
        <v>1799.7470000000001</v>
      </c>
      <c r="P100">
        <f ca="1">IF(AND(ISNUMBER($P$238),$B$145=1),$P$238,HLOOKUP(INDIRECT(ADDRESS(2,COLUMN())),OFFSET($BN$2,0,0,ROW()-1,60),ROW()-1,FALSE))</f>
        <v>1634.105</v>
      </c>
      <c r="Q100">
        <f ca="1">IF(AND(ISNUMBER($Q$238),$B$145=1),$Q$238,HLOOKUP(INDIRECT(ADDRESS(2,COLUMN())),OFFSET($BN$2,0,0,ROW()-1,60),ROW()-1,FALSE))</f>
        <v>1596.8489999999999</v>
      </c>
      <c r="R100">
        <f ca="1">IF(AND(ISNUMBER($R$238),$B$145=1),$R$238,HLOOKUP(INDIRECT(ADDRESS(2,COLUMN())),OFFSET($BN$2,0,0,ROW()-1,60),ROW()-1,FALSE))</f>
        <v>1591.423</v>
      </c>
      <c r="S100">
        <f ca="1">IF(AND(ISNUMBER($S$238),$B$145=1),$S$238,HLOOKUP(INDIRECT(ADDRESS(2,COLUMN())),OFFSET($BN$2,0,0,ROW()-1,60),ROW()-1,FALSE))</f>
        <v>1473.0609999999999</v>
      </c>
      <c r="T100">
        <f ca="1">IF(AND(ISNUMBER($T$238),$B$145=1),$T$238,HLOOKUP(INDIRECT(ADDRESS(2,COLUMN())),OFFSET($BN$2,0,0,ROW()-1,60),ROW()-1,FALSE))</f>
        <v>1483.528</v>
      </c>
      <c r="U100">
        <f ca="1">IF(AND(ISNUMBER($U$238),$B$145=1),$U$238,HLOOKUP(INDIRECT(ADDRESS(2,COLUMN())),OFFSET($BN$2,0,0,ROW()-1,60),ROW()-1,FALSE))</f>
        <v>1418.5820000000001</v>
      </c>
      <c r="V100">
        <f ca="1">IF(AND(ISNUMBER($V$238),$B$145=1),$V$238,HLOOKUP(INDIRECT(ADDRESS(2,COLUMN())),OFFSET($BN$2,0,0,ROW()-1,60),ROW()-1,FALSE))</f>
        <v>1441.89</v>
      </c>
      <c r="W100">
        <f ca="1">IF(AND(ISNUMBER($W$238),$B$145=1),$W$238,HLOOKUP(INDIRECT(ADDRESS(2,COLUMN())),OFFSET($BN$2,0,0,ROW()-1,60),ROW()-1,FALSE))</f>
        <v>1425.3420000000001</v>
      </c>
      <c r="X100">
        <f ca="1">IF(AND(ISNUMBER($X$238),$B$145=1),$X$238,HLOOKUP(INDIRECT(ADDRESS(2,COLUMN())),OFFSET($BN$2,0,0,ROW()-1,60),ROW()-1,FALSE))</f>
        <v>1381.9259999999999</v>
      </c>
      <c r="Y100">
        <f ca="1">IF(AND(ISNUMBER($Y$238),$B$145=1),$Y$238,HLOOKUP(INDIRECT(ADDRESS(2,COLUMN())),OFFSET($BN$2,0,0,ROW()-1,60),ROW()-1,FALSE))</f>
        <v>1458.105</v>
      </c>
      <c r="Z100">
        <f ca="1">IF(AND(ISNUMBER($Z$238),$B$145=1),$Z$238,HLOOKUP(INDIRECT(ADDRESS(2,COLUMN())),OFFSET($BN$2,0,0,ROW()-1,60),ROW()-1,FALSE))</f>
        <v>1508.453</v>
      </c>
      <c r="AA100">
        <f ca="1">IF(AND(ISNUMBER($AA$238),$B$145=1),$AA$238,HLOOKUP(INDIRECT(ADDRESS(2,COLUMN())),OFFSET($BN$2,0,0,ROW()-1,60),ROW()-1,FALSE))</f>
        <v>1461.5329999999999</v>
      </c>
      <c r="AB100">
        <f ca="1">IF(AND(ISNUMBER($AB$238),$B$145=1),$AB$238,HLOOKUP(INDIRECT(ADDRESS(2,COLUMN())),OFFSET($BN$2,0,0,ROW()-1,60),ROW()-1,FALSE))</f>
        <v>1466.7929999999999</v>
      </c>
      <c r="AC100">
        <f ca="1">IF(AND(ISNUMBER($AC$238),$B$145=1),$AC$238,HLOOKUP(INDIRECT(ADDRESS(2,COLUMN())),OFFSET($BN$2,0,0,ROW()-1,60),ROW()-1,FALSE))</f>
        <v>1465.47</v>
      </c>
      <c r="AD100">
        <f ca="1">IF(AND(ISNUMBER($AD$238),$B$145=1),$AD$238,HLOOKUP(INDIRECT(ADDRESS(2,COLUMN())),OFFSET($BN$2,0,0,ROW()-1,60),ROW()-1,FALSE))</f>
        <v>1482.1130000000001</v>
      </c>
      <c r="AE100">
        <f ca="1">IF(AND(ISNUMBER($AE$238),$B$145=1),$AE$238,HLOOKUP(INDIRECT(ADDRESS(2,COLUMN())),OFFSET($BN$2,0,0,ROW()-1,60),ROW()-1,FALSE))</f>
        <v>1332.0740000000001</v>
      </c>
      <c r="AF100">
        <f ca="1">IF(AND(ISNUMBER($AF$238),$B$145=1),$AF$238,HLOOKUP(INDIRECT(ADDRESS(2,COLUMN())),OFFSET($BN$2,0,0,ROW()-1,60),ROW()-1,FALSE))</f>
        <v>1338.614</v>
      </c>
      <c r="AG100">
        <f ca="1">IF(AND(ISNUMBER($AG$238),$B$145=1),$AG$238,HLOOKUP(INDIRECT(ADDRESS(2,COLUMN())),OFFSET($BN$2,0,0,ROW()-1,60),ROW()-1,FALSE))</f>
        <v>1342.0809999999999</v>
      </c>
      <c r="AH100">
        <f ca="1">IF(AND(ISNUMBER($AH$238),$B$145=1),$AH$238,HLOOKUP(INDIRECT(ADDRESS(2,COLUMN())),OFFSET($BN$2,0,0,ROW()-1,60),ROW()-1,FALSE))</f>
        <v>1334.653</v>
      </c>
      <c r="AI100">
        <f ca="1">IF(AND(ISNUMBER($AI$238),$B$145=1),$AI$238,HLOOKUP(INDIRECT(ADDRESS(2,COLUMN())),OFFSET($BN$2,0,0,ROW()-1,60),ROW()-1,FALSE))</f>
        <v>1298.6300000000001</v>
      </c>
      <c r="AJ100">
        <f ca="1">IF(AND(ISNUMBER($AJ$238),$B$145=1),$AJ$238,HLOOKUP(INDIRECT(ADDRESS(2,COLUMN())),OFFSET($BN$2,0,0,ROW()-1,60),ROW()-1,FALSE))</f>
        <v>1296.002</v>
      </c>
      <c r="AK100">
        <f ca="1">IF(AND(ISNUMBER($AK$238),$B$145=1),$AK$238,HLOOKUP(INDIRECT(ADDRESS(2,COLUMN())),OFFSET($BN$2,0,0,ROW()-1,60),ROW()-1,FALSE))</f>
        <v>1274.7560000000001</v>
      </c>
      <c r="AL100">
        <f ca="1">IF(AND(ISNUMBER($AL$238),$B$145=1),$AL$238,HLOOKUP(INDIRECT(ADDRESS(2,COLUMN())),OFFSET($BN$2,0,0,ROW()-1,60),ROW()-1,FALSE))</f>
        <v>1288.931</v>
      </c>
      <c r="AM100">
        <f ca="1">IF(AND(ISNUMBER($AM$238),$B$145=1),$AM$238,HLOOKUP(INDIRECT(ADDRESS(2,COLUMN())),OFFSET($BN$2,0,0,ROW()-1,60),ROW()-1,FALSE))</f>
        <v>1277.3969999999999</v>
      </c>
      <c r="AN100">
        <f ca="1">IF(AND(ISNUMBER($AN$238),$B$145=1),$AN$238,HLOOKUP(INDIRECT(ADDRESS(2,COLUMN())),OFFSET($BN$2,0,0,ROW()-1,60),ROW()-1,FALSE))</f>
        <v>1080.9359999999999</v>
      </c>
      <c r="AO100">
        <f ca="1">IF(AND(ISNUMBER($AO$238),$B$145=1),$AO$238,HLOOKUP(INDIRECT(ADDRESS(2,COLUMN())),OFFSET($BN$2,0,0,ROW()-1,60),ROW()-1,FALSE))</f>
        <v>1144.818</v>
      </c>
      <c r="AP100">
        <f ca="1">IF(AND(ISNUMBER($AP$238),$B$145=1),$AP$238,HLOOKUP(INDIRECT(ADDRESS(2,COLUMN())),OFFSET($BN$2,0,0,ROW()-1,60),ROW()-1,FALSE))</f>
        <v>1185.797</v>
      </c>
      <c r="AQ100">
        <f ca="1">IF(AND(ISNUMBER($AQ$238),$B$145=1),$AQ$238,HLOOKUP(INDIRECT(ADDRESS(2,COLUMN())),OFFSET($BN$2,0,0,ROW()-1,60),ROW()-1,FALSE))</f>
        <v>1139.22</v>
      </c>
      <c r="AR100">
        <f ca="1">IF(AND(ISNUMBER($AR$238),$B$145=1),$AR$238,HLOOKUP(INDIRECT(ADDRESS(2,COLUMN())),OFFSET($BN$2,0,0,ROW()-1,60),ROW()-1,FALSE))</f>
        <v>1119.212</v>
      </c>
      <c r="AS100">
        <f ca="1">IF(AND(ISNUMBER($AS$238),$B$145=1),$AS$238,HLOOKUP(INDIRECT(ADDRESS(2,COLUMN())),OFFSET($BN$2,0,0,ROW()-1,60),ROW()-1,FALSE))</f>
        <v>1057.8869999999999</v>
      </c>
      <c r="AT100">
        <f ca="1">IF(AND(ISNUMBER($AT$238),$B$145=1),$AT$238,HLOOKUP(INDIRECT(ADDRESS(2,COLUMN())),OFFSET($BN$2,0,0,ROW()-1,60),ROW()-1,FALSE))</f>
        <v>1075.903</v>
      </c>
      <c r="AU100">
        <f ca="1">IF(AND(ISNUMBER($AU$238),$B$145=1),$AU$238,HLOOKUP(INDIRECT(ADDRESS(2,COLUMN())),OFFSET($BN$2,0,0,ROW()-1,60),ROW()-1,FALSE))</f>
        <v>1042.9179999999999</v>
      </c>
      <c r="AV100">
        <f ca="1">IF(AND(ISNUMBER($AV$238),$B$145=1),$AV$238,HLOOKUP(INDIRECT(ADDRESS(2,COLUMN())),OFFSET($BN$2,0,0,ROW()-1,60),ROW()-1,FALSE))</f>
        <v>1011.6</v>
      </c>
      <c r="AW100">
        <f ca="1">IF(AND(ISNUMBER($AW$238),$B$145=1),$AW$238,HLOOKUP(INDIRECT(ADDRESS(2,COLUMN())),OFFSET($BN$2,0,0,ROW()-1,60),ROW()-1,FALSE))</f>
        <v>986.63099999999997</v>
      </c>
      <c r="AX100">
        <f ca="1">IF(AND(ISNUMBER($AX$238),$B$145=1),$AX$238,HLOOKUP(INDIRECT(ADDRESS(2,COLUMN())),OFFSET($BN$2,0,0,ROW()-1,60),ROW()-1,FALSE))</f>
        <v>996.54499999999996</v>
      </c>
      <c r="AY100">
        <f ca="1">IF(AND(ISNUMBER($AY$238),$B$145=1),$AY$238,HLOOKUP(INDIRECT(ADDRESS(2,COLUMN())),OFFSET($BN$2,0,0,ROW()-1,60),ROW()-1,FALSE))</f>
        <v>945.61599999999999</v>
      </c>
      <c r="AZ100">
        <f ca="1">IF(AND(ISNUMBER($AZ$238),$B$145=1),$AZ$238,HLOOKUP(INDIRECT(ADDRESS(2,COLUMN())),OFFSET($BN$2,0,0,ROW()-1,60),ROW()-1,FALSE))</f>
        <v>949.46</v>
      </c>
      <c r="BA100">
        <f ca="1">IF(AND(ISNUMBER($BA$238),$B$145=1),$BA$238,HLOOKUP(INDIRECT(ADDRESS(2,COLUMN())),OFFSET($BN$2,0,0,ROW()-1,60),ROW()-1,FALSE))</f>
        <v>957.73099999999999</v>
      </c>
      <c r="BB100">
        <f ca="1">IF(AND(ISNUMBER($BB$238),$B$145=1),$BB$238,HLOOKUP(INDIRECT(ADDRESS(2,COLUMN())),OFFSET($BN$2,0,0,ROW()-1,60),ROW()-1,FALSE))</f>
        <v>959.63300000000004</v>
      </c>
      <c r="BC100">
        <f ca="1">IF(AND(ISNUMBER($BC$238),$B$145=1),$BC$238,HLOOKUP(INDIRECT(ADDRESS(2,COLUMN())),OFFSET($BN$2,0,0,ROW()-1,60),ROW()-1,FALSE))</f>
        <v>930.84</v>
      </c>
      <c r="BD100">
        <f ca="1">IF(AND(ISNUMBER($BD$238),$B$145=1),$BD$238,HLOOKUP(INDIRECT(ADDRESS(2,COLUMN())),OFFSET($BN$2,0,0,ROW()-1,60),ROW()-1,FALSE))</f>
        <v>943.976</v>
      </c>
      <c r="BE100">
        <f ca="1">IF(AND(ISNUMBER($BE$238),$B$145=1),$BE$238,HLOOKUP(INDIRECT(ADDRESS(2,COLUMN())),OFFSET($BN$2,0,0,ROW()-1,60),ROW()-1,FALSE))</f>
        <v>951.89300000000003</v>
      </c>
      <c r="BF100">
        <f ca="1">IF(AND(ISNUMBER($BF$238),$B$145=1),$BF$238,HLOOKUP(INDIRECT(ADDRESS(2,COLUMN())),OFFSET($BN$2,0,0,ROW()-1,60),ROW()-1,FALSE))</f>
        <v>966.65899999999999</v>
      </c>
      <c r="BG100">
        <f ca="1">IF(AND(ISNUMBER($BG$238),$B$145=1),$BG$238,HLOOKUP(INDIRECT(ADDRESS(2,COLUMN())),OFFSET($BN$2,0,0,ROW()-1,60),ROW()-1,FALSE))</f>
        <v>943.95299999999997</v>
      </c>
      <c r="BH100">
        <f ca="1">IF(AND(ISNUMBER($BH$238),$B$145=1),$BH$238,HLOOKUP(INDIRECT(ADDRESS(2,COLUMN())),OFFSET($BN$2,0,0,ROW()-1,60),ROW()-1,FALSE))</f>
        <v>964.54600000000005</v>
      </c>
      <c r="BI100">
        <f ca="1">IF(AND(ISNUMBER($BI$238),$B$145=1),$BI$238,HLOOKUP(INDIRECT(ADDRESS(2,COLUMN())),OFFSET($BN$2,0,0,ROW()-1,60),ROW()-1,FALSE))</f>
        <v>922.476</v>
      </c>
      <c r="BJ100">
        <f ca="1">IF(AND(ISNUMBER($BJ$238),$B$145=1),$BJ$238,HLOOKUP(INDIRECT(ADDRESS(2,COLUMN())),OFFSET($BN$2,0,0,ROW()-1,60),ROW()-1,FALSE))</f>
        <v>922.64400000000001</v>
      </c>
      <c r="BK100">
        <f ca="1">IF(AND(ISNUMBER($BK$238),$B$145=1),$BK$238,HLOOKUP(INDIRECT(ADDRESS(2,COLUMN())),OFFSET($BN$2,0,0,ROW()-1,60),ROW()-1,FALSE))</f>
        <v>953.25800000000004</v>
      </c>
      <c r="BL100">
        <f ca="1">IF(AND(ISNUMBER($BL$238),$B$145=1),$BL$238,HLOOKUP(INDIRECT(ADDRESS(2,COLUMN())),OFFSET($BN$2,0,0,ROW()-1,60),ROW()-1,FALSE))</f>
        <v>957.42700000000002</v>
      </c>
      <c r="BM100" t="str">
        <f ca="1">IF(AND(ISNUMBER($BM$238),$B$145=1),$BM$238,HLOOKUP(INDIRECT(ADDRESS(2,COLUMN())),OFFSET($BN$2,0,0,ROW()-1,60),ROW()-1,FALSE))</f>
        <v/>
      </c>
      <c r="BN100">
        <f>2566.342</f>
        <v>2566.3420000000001</v>
      </c>
      <c r="BO100">
        <f>2216.719</f>
        <v>2216.7190000000001</v>
      </c>
      <c r="BP100">
        <f>2186.608</f>
        <v>2186.6080000000002</v>
      </c>
      <c r="BQ100">
        <f>2188.146</f>
        <v>2188.1460000000002</v>
      </c>
      <c r="BR100">
        <f>2341.818</f>
        <v>2341.8180000000002</v>
      </c>
      <c r="BS100">
        <f>2118.326</f>
        <v>2118.326</v>
      </c>
      <c r="BT100">
        <f>2195.473</f>
        <v>2195.473</v>
      </c>
      <c r="BU100">
        <f>2080.684</f>
        <v>2080.6840000000002</v>
      </c>
      <c r="BV100">
        <f>1879.972</f>
        <v>1879.972</v>
      </c>
      <c r="BW100">
        <f>1799.747</f>
        <v>1799.7470000000001</v>
      </c>
      <c r="BX100">
        <f>1634.105</f>
        <v>1634.105</v>
      </c>
      <c r="BY100">
        <f>1596.849</f>
        <v>1596.8489999999999</v>
      </c>
      <c r="BZ100">
        <f>1591.423</f>
        <v>1591.423</v>
      </c>
      <c r="CA100">
        <f>1473.061</f>
        <v>1473.0609999999999</v>
      </c>
      <c r="CB100">
        <f>1483.528</f>
        <v>1483.528</v>
      </c>
      <c r="CC100">
        <f>1418.582</f>
        <v>1418.5820000000001</v>
      </c>
      <c r="CD100">
        <f>1441.89</f>
        <v>1441.89</v>
      </c>
      <c r="CE100">
        <f>1425.342</f>
        <v>1425.3420000000001</v>
      </c>
      <c r="CF100">
        <f>1381.926</f>
        <v>1381.9259999999999</v>
      </c>
      <c r="CG100">
        <f>1458.105</f>
        <v>1458.105</v>
      </c>
      <c r="CH100">
        <f>1508.453</f>
        <v>1508.453</v>
      </c>
      <c r="CI100">
        <f>1461.533</f>
        <v>1461.5329999999999</v>
      </c>
      <c r="CJ100">
        <f>1466.793</f>
        <v>1466.7929999999999</v>
      </c>
      <c r="CK100">
        <f>1465.47</f>
        <v>1465.47</v>
      </c>
      <c r="CL100">
        <f>1482.113</f>
        <v>1482.1130000000001</v>
      </c>
      <c r="CM100">
        <f>1332.074</f>
        <v>1332.0740000000001</v>
      </c>
      <c r="CN100">
        <f>1338.614</f>
        <v>1338.614</v>
      </c>
      <c r="CO100">
        <f>1342.081</f>
        <v>1342.0809999999999</v>
      </c>
      <c r="CP100">
        <f>1334.653</f>
        <v>1334.653</v>
      </c>
      <c r="CQ100">
        <f>1298.63</f>
        <v>1298.6300000000001</v>
      </c>
      <c r="CR100">
        <f>1296.002</f>
        <v>1296.002</v>
      </c>
      <c r="CS100">
        <f>1274.756</f>
        <v>1274.7560000000001</v>
      </c>
      <c r="CT100">
        <f>1288.931</f>
        <v>1288.931</v>
      </c>
      <c r="CU100">
        <f>1277.397</f>
        <v>1277.3969999999999</v>
      </c>
      <c r="CV100">
        <f>1080.936</f>
        <v>1080.9359999999999</v>
      </c>
      <c r="CW100">
        <f>1144.818</f>
        <v>1144.818</v>
      </c>
      <c r="CX100">
        <f>1185.797</f>
        <v>1185.797</v>
      </c>
      <c r="CY100">
        <f>1139.22</f>
        <v>1139.22</v>
      </c>
      <c r="CZ100">
        <f>1119.212</f>
        <v>1119.212</v>
      </c>
      <c r="DA100">
        <f>1057.887</f>
        <v>1057.8869999999999</v>
      </c>
      <c r="DB100">
        <f>1075.903</f>
        <v>1075.903</v>
      </c>
      <c r="DC100">
        <f>1042.918</f>
        <v>1042.9179999999999</v>
      </c>
      <c r="DD100">
        <f>1011.6</f>
        <v>1011.6</v>
      </c>
      <c r="DE100">
        <f>986.631</f>
        <v>986.63099999999997</v>
      </c>
      <c r="DF100">
        <f>996.545</f>
        <v>996.54499999999996</v>
      </c>
      <c r="DG100">
        <f>945.616</f>
        <v>945.61599999999999</v>
      </c>
      <c r="DH100">
        <f>949.46</f>
        <v>949.46</v>
      </c>
      <c r="DI100">
        <f>957.731</f>
        <v>957.73099999999999</v>
      </c>
      <c r="DJ100">
        <f>959.633</f>
        <v>959.63300000000004</v>
      </c>
      <c r="DK100">
        <f>930.84</f>
        <v>930.84</v>
      </c>
      <c r="DL100">
        <f>943.976</f>
        <v>943.976</v>
      </c>
      <c r="DM100">
        <f>951.893</f>
        <v>951.89300000000003</v>
      </c>
      <c r="DN100">
        <f>966.659</f>
        <v>966.65899999999999</v>
      </c>
      <c r="DO100">
        <f>943.953</f>
        <v>943.95299999999997</v>
      </c>
      <c r="DP100">
        <f>964.546</f>
        <v>964.54600000000005</v>
      </c>
      <c r="DQ100">
        <f>922.476</f>
        <v>922.476</v>
      </c>
      <c r="DR100">
        <f>922.644</f>
        <v>922.64400000000001</v>
      </c>
      <c r="DS100">
        <f>953.258</f>
        <v>953.25800000000004</v>
      </c>
      <c r="DT100">
        <f>957.427</f>
        <v>957.42700000000002</v>
      </c>
      <c r="DU100" t="str">
        <f>""</f>
        <v/>
      </c>
    </row>
    <row r="101" spans="1:125" x14ac:dyDescent="0.25">
      <c r="A101" t="str">
        <f>"            M&amp;T Bank Corp"</f>
        <v xml:space="preserve">            M&amp;T Bank Corp</v>
      </c>
      <c r="B101" t="str">
        <f>"MTB US Equity"</f>
        <v>MTB US Equity</v>
      </c>
      <c r="C101" t="str">
        <f t="shared" si="12"/>
        <v>FR531</v>
      </c>
      <c r="D101" t="str">
        <f t="shared" si="13"/>
        <v>FED_INVT_IN_RE_VENTURES</v>
      </c>
      <c r="E101" t="str">
        <f t="shared" si="14"/>
        <v>Dynamic</v>
      </c>
      <c r="F101">
        <f ca="1">IF(AND(ISNUMBER($F$239),$B$145=1),$F$239,HLOOKUP(INDIRECT(ADDRESS(2,COLUMN())),OFFSET($BN$2,0,0,ROW()-1,60),ROW()-1,FALSE))</f>
        <v>1421.039</v>
      </c>
      <c r="G101">
        <f ca="1">IF(AND(ISNUMBER($G$239),$B$145=1),$G$239,HLOOKUP(INDIRECT(ADDRESS(2,COLUMN())),OFFSET($BN$2,0,0,ROW()-1,60),ROW()-1,FALSE))</f>
        <v>1403.0260000000001</v>
      </c>
      <c r="H101">
        <f ca="1">IF(AND(ISNUMBER($H$239),$B$145=1),$H$239,HLOOKUP(INDIRECT(ADDRESS(2,COLUMN())),OFFSET($BN$2,0,0,ROW()-1,60),ROW()-1,FALSE))</f>
        <v>1371.29</v>
      </c>
      <c r="I101">
        <f ca="1">IF(AND(ISNUMBER($I$239),$B$145=1),$I$239,HLOOKUP(INDIRECT(ADDRESS(2,COLUMN())),OFFSET($BN$2,0,0,ROW()-1,60),ROW()-1,FALSE))</f>
        <v>1363.443</v>
      </c>
      <c r="J101">
        <f ca="1">IF(AND(ISNUMBER($J$239),$B$145=1),$J$239,HLOOKUP(INDIRECT(ADDRESS(2,COLUMN())),OFFSET($BN$2,0,0,ROW()-1,60),ROW()-1,FALSE))</f>
        <v>1380.9449999999999</v>
      </c>
      <c r="K101">
        <f ca="1">IF(AND(ISNUMBER($K$239),$B$145=1),$K$239,HLOOKUP(INDIRECT(ADDRESS(2,COLUMN())),OFFSET($BN$2,0,0,ROW()-1,60),ROW()-1,FALSE))</f>
        <v>1313.194</v>
      </c>
      <c r="L101">
        <f ca="1">IF(AND(ISNUMBER($L$239),$B$145=1),$L$239,HLOOKUP(INDIRECT(ADDRESS(2,COLUMN())),OFFSET($BN$2,0,0,ROW()-1,60),ROW()-1,FALSE))</f>
        <v>1356.941</v>
      </c>
      <c r="M101">
        <f ca="1">IF(AND(ISNUMBER($M$239),$B$145=1),$M$239,HLOOKUP(INDIRECT(ADDRESS(2,COLUMN())),OFFSET($BN$2,0,0,ROW()-1,60),ROW()-1,FALSE))</f>
        <v>1352.0219999999999</v>
      </c>
      <c r="N101">
        <f ca="1">IF(AND(ISNUMBER($N$239),$B$145=1),$N$239,HLOOKUP(INDIRECT(ADDRESS(2,COLUMN())),OFFSET($BN$2,0,0,ROW()-1,60),ROW()-1,FALSE))</f>
        <v>1512.498</v>
      </c>
      <c r="O101">
        <f ca="1">IF(AND(ISNUMBER($O$239),$B$145=1),$O$239,HLOOKUP(INDIRECT(ADDRESS(2,COLUMN())),OFFSET($BN$2,0,0,ROW()-1,60),ROW()-1,FALSE))</f>
        <v>1382.037</v>
      </c>
      <c r="P101">
        <f ca="1">IF(AND(ISNUMBER($P$239),$B$145=1),$P$239,HLOOKUP(INDIRECT(ADDRESS(2,COLUMN())),OFFSET($BN$2,0,0,ROW()-1,60),ROW()-1,FALSE))</f>
        <v>1402.5</v>
      </c>
      <c r="Q101">
        <f ca="1">IF(AND(ISNUMBER($Q$239),$B$145=1),$Q$239,HLOOKUP(INDIRECT(ADDRESS(2,COLUMN())),OFFSET($BN$2,0,0,ROW()-1,60),ROW()-1,FALSE))</f>
        <v>857.83</v>
      </c>
      <c r="R101">
        <f ca="1">IF(AND(ISNUMBER($R$239),$B$145=1),$R$239,HLOOKUP(INDIRECT(ADDRESS(2,COLUMN())),OFFSET($BN$2,0,0,ROW()-1,60),ROW()-1,FALSE))</f>
        <v>887.48199999999997</v>
      </c>
      <c r="S101">
        <f ca="1">IF(AND(ISNUMBER($S$239),$B$145=1),$S$239,HLOOKUP(INDIRECT(ADDRESS(2,COLUMN())),OFFSET($BN$2,0,0,ROW()-1,60),ROW()-1,FALSE))</f>
        <v>812.63599999999997</v>
      </c>
      <c r="T101">
        <f ca="1">IF(AND(ISNUMBER($T$239),$B$145=1),$T$239,HLOOKUP(INDIRECT(ADDRESS(2,COLUMN())),OFFSET($BN$2,0,0,ROW()-1,60),ROW()-1,FALSE))</f>
        <v>824.74699999999996</v>
      </c>
      <c r="U101">
        <f ca="1">IF(AND(ISNUMBER($U$239),$B$145=1),$U$239,HLOOKUP(INDIRECT(ADDRESS(2,COLUMN())),OFFSET($BN$2,0,0,ROW()-1,60),ROW()-1,FALSE))</f>
        <v>842.47900000000004</v>
      </c>
      <c r="V101">
        <f ca="1">IF(AND(ISNUMBER($V$239),$B$145=1),$V$239,HLOOKUP(INDIRECT(ADDRESS(2,COLUMN())),OFFSET($BN$2,0,0,ROW()-1,60),ROW()-1,FALSE))</f>
        <v>850.91</v>
      </c>
      <c r="W101">
        <f ca="1">IF(AND(ISNUMBER($W$239),$B$145=1),$W$239,HLOOKUP(INDIRECT(ADDRESS(2,COLUMN())),OFFSET($BN$2,0,0,ROW()-1,60),ROW()-1,FALSE))</f>
        <v>781.05399999999997</v>
      </c>
      <c r="X101">
        <f ca="1">IF(AND(ISNUMBER($X$239),$B$145=1),$X$239,HLOOKUP(INDIRECT(ADDRESS(2,COLUMN())),OFFSET($BN$2,0,0,ROW()-1,60),ROW()-1,FALSE))</f>
        <v>734.54</v>
      </c>
      <c r="Y101">
        <f ca="1">IF(AND(ISNUMBER($Y$239),$B$145=1),$Y$239,HLOOKUP(INDIRECT(ADDRESS(2,COLUMN())),OFFSET($BN$2,0,0,ROW()-1,60),ROW()-1,FALSE))</f>
        <v>724.36500000000001</v>
      </c>
      <c r="Z101">
        <f ca="1">IF(AND(ISNUMBER($Z$239),$B$145=1),$Z$239,HLOOKUP(INDIRECT(ADDRESS(2,COLUMN())),OFFSET($BN$2,0,0,ROW()-1,60),ROW()-1,FALSE))</f>
        <v>747.98</v>
      </c>
      <c r="AA101">
        <f ca="1">IF(AND(ISNUMBER($AA$239),$B$145=1),$AA$239,HLOOKUP(INDIRECT(ADDRESS(2,COLUMN())),OFFSET($BN$2,0,0,ROW()-1,60),ROW()-1,FALSE))</f>
        <v>603.54899999999998</v>
      </c>
      <c r="AB101">
        <f ca="1">IF(AND(ISNUMBER($AB$239),$B$145=1),$AB$239,HLOOKUP(INDIRECT(ADDRESS(2,COLUMN())),OFFSET($BN$2,0,0,ROW()-1,60),ROW()-1,FALSE))</f>
        <v>573.37400000000002</v>
      </c>
      <c r="AC101">
        <f ca="1">IF(AND(ISNUMBER($AC$239),$B$145=1),$AC$239,HLOOKUP(INDIRECT(ADDRESS(2,COLUMN())),OFFSET($BN$2,0,0,ROW()-1,60),ROW()-1,FALSE))</f>
        <v>517.31100000000004</v>
      </c>
      <c r="AD101">
        <f ca="1">IF(AND(ISNUMBER($AD$239),$B$145=1),$AD$239,HLOOKUP(INDIRECT(ADDRESS(2,COLUMN())),OFFSET($BN$2,0,0,ROW()-1,60),ROW()-1,FALSE))</f>
        <v>522.76700000000005</v>
      </c>
      <c r="AE101">
        <f ca="1">IF(AND(ISNUMBER($AE$239),$B$145=1),$AE$239,HLOOKUP(INDIRECT(ADDRESS(2,COLUMN())),OFFSET($BN$2,0,0,ROW()-1,60),ROW()-1,FALSE))</f>
        <v>457.39100000000002</v>
      </c>
      <c r="AF101">
        <f ca="1">IF(AND(ISNUMBER($AF$239),$B$145=1),$AF$239,HLOOKUP(INDIRECT(ADDRESS(2,COLUMN())),OFFSET($BN$2,0,0,ROW()-1,60),ROW()-1,FALSE))</f>
        <v>463.44299999999998</v>
      </c>
      <c r="AG101">
        <f ca="1">IF(AND(ISNUMBER($AG$239),$B$145=1),$AG$239,HLOOKUP(INDIRECT(ADDRESS(2,COLUMN())),OFFSET($BN$2,0,0,ROW()-1,60),ROW()-1,FALSE))</f>
        <v>406.89299999999997</v>
      </c>
      <c r="AH101">
        <f ca="1">IF(AND(ISNUMBER($AH$239),$B$145=1),$AH$239,HLOOKUP(INDIRECT(ADDRESS(2,COLUMN())),OFFSET($BN$2,0,0,ROW()-1,60),ROW()-1,FALSE))</f>
        <v>405.05200000000002</v>
      </c>
      <c r="AI101">
        <f ca="1">IF(AND(ISNUMBER($AI$239),$B$145=1),$AI$239,HLOOKUP(INDIRECT(ADDRESS(2,COLUMN())),OFFSET($BN$2,0,0,ROW()-1,60),ROW()-1,FALSE))</f>
        <v>319.63299999999998</v>
      </c>
      <c r="AJ101">
        <f ca="1">IF(AND(ISNUMBER($AJ$239),$B$145=1),$AJ$239,HLOOKUP(INDIRECT(ADDRESS(2,COLUMN())),OFFSET($BN$2,0,0,ROW()-1,60),ROW()-1,FALSE))</f>
        <v>322.149</v>
      </c>
      <c r="AK101">
        <f ca="1">IF(AND(ISNUMBER($AK$239),$B$145=1),$AK$239,HLOOKUP(INDIRECT(ADDRESS(2,COLUMN())),OFFSET($BN$2,0,0,ROW()-1,60),ROW()-1,FALSE))</f>
        <v>305.87700000000001</v>
      </c>
      <c r="AL101">
        <f ca="1">IF(AND(ISNUMBER($AL$239),$B$145=1),$AL$239,HLOOKUP(INDIRECT(ADDRESS(2,COLUMN())),OFFSET($BN$2,0,0,ROW()-1,60),ROW()-1,FALSE))</f>
        <v>294.44499999999999</v>
      </c>
      <c r="AM101">
        <f ca="1">IF(AND(ISNUMBER($AM$239),$B$145=1),$AM$239,HLOOKUP(INDIRECT(ADDRESS(2,COLUMN())),OFFSET($BN$2,0,0,ROW()-1,60),ROW()-1,FALSE))</f>
        <v>268.46300000000002</v>
      </c>
      <c r="AN101">
        <f ca="1">IF(AND(ISNUMBER($AN$239),$B$145=1),$AN$239,HLOOKUP(INDIRECT(ADDRESS(2,COLUMN())),OFFSET($BN$2,0,0,ROW()-1,60),ROW()-1,FALSE))</f>
        <v>260.48599999999999</v>
      </c>
      <c r="AO101">
        <f ca="1">IF(AND(ISNUMBER($AO$239),$B$145=1),$AO$239,HLOOKUP(INDIRECT(ADDRESS(2,COLUMN())),OFFSET($BN$2,0,0,ROW()-1,60),ROW()-1,FALSE))</f>
        <v>271.49599999999998</v>
      </c>
      <c r="AP101">
        <f ca="1">IF(AND(ISNUMBER($AP$239),$B$145=1),$AP$239,HLOOKUP(INDIRECT(ADDRESS(2,COLUMN())),OFFSET($BN$2,0,0,ROW()-1,60),ROW()-1,FALSE))</f>
        <v>276.20999999999998</v>
      </c>
      <c r="AQ101">
        <f ca="1">IF(AND(ISNUMBER($AQ$239),$B$145=1),$AQ$239,HLOOKUP(INDIRECT(ADDRESS(2,COLUMN())),OFFSET($BN$2,0,0,ROW()-1,60),ROW()-1,FALSE))</f>
        <v>282.71899999999999</v>
      </c>
      <c r="AR101">
        <f ca="1">IF(AND(ISNUMBER($AR$239),$B$145=1),$AR$239,HLOOKUP(INDIRECT(ADDRESS(2,COLUMN())),OFFSET($BN$2,0,0,ROW()-1,60),ROW()-1,FALSE))</f>
        <v>276.14299999999997</v>
      </c>
      <c r="AS101">
        <f ca="1">IF(AND(ISNUMBER($AS$239),$B$145=1),$AS$239,HLOOKUP(INDIRECT(ADDRESS(2,COLUMN())),OFFSET($BN$2,0,0,ROW()-1,60),ROW()-1,FALSE))</f>
        <v>302.53300000000002</v>
      </c>
      <c r="AT101">
        <f ca="1">IF(AND(ISNUMBER($AT$239),$B$145=1),$AT$239,HLOOKUP(INDIRECT(ADDRESS(2,COLUMN())),OFFSET($BN$2,0,0,ROW()-1,60),ROW()-1,FALSE))</f>
        <v>233.82</v>
      </c>
      <c r="AU101">
        <f ca="1">IF(AND(ISNUMBER($AU$239),$B$145=1),$AU$239,HLOOKUP(INDIRECT(ADDRESS(2,COLUMN())),OFFSET($BN$2,0,0,ROW()-1,60),ROW()-1,FALSE))</f>
        <v>246.80799999999999</v>
      </c>
      <c r="AV101">
        <f ca="1">IF(AND(ISNUMBER($AV$239),$B$145=1),$AV$239,HLOOKUP(INDIRECT(ADDRESS(2,COLUMN())),OFFSET($BN$2,0,0,ROW()-1,60),ROW()-1,FALSE))</f>
        <v>225.35900000000001</v>
      </c>
      <c r="AW101">
        <f ca="1">IF(AND(ISNUMBER($AW$239),$B$145=1),$AW$239,HLOOKUP(INDIRECT(ADDRESS(2,COLUMN())),OFFSET($BN$2,0,0,ROW()-1,60),ROW()-1,FALSE))</f>
        <v>236.79599999999999</v>
      </c>
      <c r="AX101">
        <f ca="1">IF(AND(ISNUMBER($AX$239),$B$145=1),$AX$239,HLOOKUP(INDIRECT(ADDRESS(2,COLUMN())),OFFSET($BN$2,0,0,ROW()-1,60),ROW()-1,FALSE))</f>
        <v>222.33600000000001</v>
      </c>
      <c r="AY101">
        <f ca="1">IF(AND(ISNUMBER($AY$239),$B$145=1),$AY$239,HLOOKUP(INDIRECT(ADDRESS(2,COLUMN())),OFFSET($BN$2,0,0,ROW()-1,60),ROW()-1,FALSE))</f>
        <v>234.21899999999999</v>
      </c>
      <c r="AZ101">
        <f ca="1">IF(AND(ISNUMBER($AZ$239),$B$145=1),$AZ$239,HLOOKUP(INDIRECT(ADDRESS(2,COLUMN())),OFFSET($BN$2,0,0,ROW()-1,60),ROW()-1,FALSE))</f>
        <v>245.95099999999999</v>
      </c>
      <c r="BA101">
        <f ca="1">IF(AND(ISNUMBER($BA$239),$B$145=1),$BA$239,HLOOKUP(INDIRECT(ADDRESS(2,COLUMN())),OFFSET($BN$2,0,0,ROW()-1,60),ROW()-1,FALSE))</f>
        <v>238.029</v>
      </c>
      <c r="BB101">
        <f ca="1">IF(AND(ISNUMBER($BB$239),$B$145=1),$BB$239,HLOOKUP(INDIRECT(ADDRESS(2,COLUMN())),OFFSET($BN$2,0,0,ROW()-1,60),ROW()-1,FALSE))</f>
        <v>247.768</v>
      </c>
      <c r="BC101">
        <f ca="1">IF(AND(ISNUMBER($BC$239),$B$145=1),$BC$239,HLOOKUP(INDIRECT(ADDRESS(2,COLUMN())),OFFSET($BN$2,0,0,ROW()-1,60),ROW()-1,FALSE))</f>
        <v>241.76</v>
      </c>
      <c r="BD101">
        <f ca="1">IF(AND(ISNUMBER($BD$239),$B$145=1),$BD$239,HLOOKUP(INDIRECT(ADDRESS(2,COLUMN())),OFFSET($BN$2,0,0,ROW()-1,60),ROW()-1,FALSE))</f>
        <v>247.08500000000001</v>
      </c>
      <c r="BE101">
        <f ca="1">IF(AND(ISNUMBER($BE$239),$B$145=1),$BE$239,HLOOKUP(INDIRECT(ADDRESS(2,COLUMN())),OFFSET($BN$2,0,0,ROW()-1,60),ROW()-1,FALSE))</f>
        <v>242.25200000000001</v>
      </c>
      <c r="BF101">
        <f ca="1">IF(AND(ISNUMBER($BF$239),$B$145=1),$BF$239,HLOOKUP(INDIRECT(ADDRESS(2,COLUMN())),OFFSET($BN$2,0,0,ROW()-1,60),ROW()-1,FALSE))</f>
        <v>250.02</v>
      </c>
      <c r="BG101">
        <f ca="1">IF(AND(ISNUMBER($BG$239),$B$145=1),$BG$239,HLOOKUP(INDIRECT(ADDRESS(2,COLUMN())),OFFSET($BN$2,0,0,ROW()-1,60),ROW()-1,FALSE))</f>
        <v>214.69900000000001</v>
      </c>
      <c r="BH101">
        <f ca="1">IF(AND(ISNUMBER($BH$239),$B$145=1),$BH$239,HLOOKUP(INDIRECT(ADDRESS(2,COLUMN())),OFFSET($BN$2,0,0,ROW()-1,60),ROW()-1,FALSE))</f>
        <v>223.255</v>
      </c>
      <c r="BI101">
        <f ca="1">IF(AND(ISNUMBER($BI$239),$B$145=1),$BI$239,HLOOKUP(INDIRECT(ADDRESS(2,COLUMN())),OFFSET($BN$2,0,0,ROW()-1,60),ROW()-1,FALSE))</f>
        <v>230.91499999999999</v>
      </c>
      <c r="BJ101">
        <f ca="1">IF(AND(ISNUMBER($BJ$239),$B$145=1),$BJ$239,HLOOKUP(INDIRECT(ADDRESS(2,COLUMN())),OFFSET($BN$2,0,0,ROW()-1,60),ROW()-1,FALSE))</f>
        <v>239.13800000000001</v>
      </c>
      <c r="BK101">
        <f ca="1">IF(AND(ISNUMBER($BK$239),$B$145=1),$BK$239,HLOOKUP(INDIRECT(ADDRESS(2,COLUMN())),OFFSET($BN$2,0,0,ROW()-1,60),ROW()-1,FALSE))</f>
        <v>226.8</v>
      </c>
      <c r="BL101">
        <f ca="1">IF(AND(ISNUMBER($BL$239),$B$145=1),$BL$239,HLOOKUP(INDIRECT(ADDRESS(2,COLUMN())),OFFSET($BN$2,0,0,ROW()-1,60),ROW()-1,FALSE))</f>
        <v>218.34299999999999</v>
      </c>
      <c r="BM101" t="str">
        <f ca="1">IF(AND(ISNUMBER($BM$239),$B$145=1),$BM$239,HLOOKUP(INDIRECT(ADDRESS(2,COLUMN())),OFFSET($BN$2,0,0,ROW()-1,60),ROW()-1,FALSE))</f>
        <v/>
      </c>
      <c r="BN101">
        <f>1421.039</f>
        <v>1421.039</v>
      </c>
      <c r="BO101">
        <f>1403.026</f>
        <v>1403.0260000000001</v>
      </c>
      <c r="BP101">
        <f>1371.29</f>
        <v>1371.29</v>
      </c>
      <c r="BQ101">
        <f>1363.443</f>
        <v>1363.443</v>
      </c>
      <c r="BR101">
        <f>1380.945</f>
        <v>1380.9449999999999</v>
      </c>
      <c r="BS101">
        <f>1313.194</f>
        <v>1313.194</v>
      </c>
      <c r="BT101">
        <f>1356.941</f>
        <v>1356.941</v>
      </c>
      <c r="BU101">
        <f>1352.022</f>
        <v>1352.0219999999999</v>
      </c>
      <c r="BV101">
        <f>1512.498</f>
        <v>1512.498</v>
      </c>
      <c r="BW101">
        <f>1382.037</f>
        <v>1382.037</v>
      </c>
      <c r="BX101">
        <f>1402.5</f>
        <v>1402.5</v>
      </c>
      <c r="BY101">
        <f>857.83</f>
        <v>857.83</v>
      </c>
      <c r="BZ101">
        <f>887.482</f>
        <v>887.48199999999997</v>
      </c>
      <c r="CA101">
        <f>812.636</f>
        <v>812.63599999999997</v>
      </c>
      <c r="CB101">
        <f>824.747</f>
        <v>824.74699999999996</v>
      </c>
      <c r="CC101">
        <f>842.479</f>
        <v>842.47900000000004</v>
      </c>
      <c r="CD101">
        <f>850.91</f>
        <v>850.91</v>
      </c>
      <c r="CE101">
        <f>781.054</f>
        <v>781.05399999999997</v>
      </c>
      <c r="CF101">
        <f>734.54</f>
        <v>734.54</v>
      </c>
      <c r="CG101">
        <f>724.365</f>
        <v>724.36500000000001</v>
      </c>
      <c r="CH101">
        <f>747.98</f>
        <v>747.98</v>
      </c>
      <c r="CI101">
        <f>603.549</f>
        <v>603.54899999999998</v>
      </c>
      <c r="CJ101">
        <f>573.374</f>
        <v>573.37400000000002</v>
      </c>
      <c r="CK101">
        <f>517.311</f>
        <v>517.31100000000004</v>
      </c>
      <c r="CL101">
        <f>522.767</f>
        <v>522.76700000000005</v>
      </c>
      <c r="CM101">
        <f>457.391</f>
        <v>457.39100000000002</v>
      </c>
      <c r="CN101">
        <f>463.443</f>
        <v>463.44299999999998</v>
      </c>
      <c r="CO101">
        <f>406.893</f>
        <v>406.89299999999997</v>
      </c>
      <c r="CP101">
        <f>405.052</f>
        <v>405.05200000000002</v>
      </c>
      <c r="CQ101">
        <f>319.633</f>
        <v>319.63299999999998</v>
      </c>
      <c r="CR101">
        <f>322.149</f>
        <v>322.149</v>
      </c>
      <c r="CS101">
        <f>305.877</f>
        <v>305.87700000000001</v>
      </c>
      <c r="CT101">
        <f>294.445</f>
        <v>294.44499999999999</v>
      </c>
      <c r="CU101">
        <f>268.463</f>
        <v>268.46300000000002</v>
      </c>
      <c r="CV101">
        <f>260.486</f>
        <v>260.48599999999999</v>
      </c>
      <c r="CW101">
        <f>271.496</f>
        <v>271.49599999999998</v>
      </c>
      <c r="CX101">
        <f>276.21</f>
        <v>276.20999999999998</v>
      </c>
      <c r="CY101">
        <f>282.719</f>
        <v>282.71899999999999</v>
      </c>
      <c r="CZ101">
        <f>276.143</f>
        <v>276.14299999999997</v>
      </c>
      <c r="DA101">
        <f>302.533</f>
        <v>302.53300000000002</v>
      </c>
      <c r="DB101">
        <f>233.82</f>
        <v>233.82</v>
      </c>
      <c r="DC101">
        <f>246.808</f>
        <v>246.80799999999999</v>
      </c>
      <c r="DD101">
        <f>225.359</f>
        <v>225.35900000000001</v>
      </c>
      <c r="DE101">
        <f>236.796</f>
        <v>236.79599999999999</v>
      </c>
      <c r="DF101">
        <f>222.336</f>
        <v>222.33600000000001</v>
      </c>
      <c r="DG101">
        <f>234.219</f>
        <v>234.21899999999999</v>
      </c>
      <c r="DH101">
        <f>245.951</f>
        <v>245.95099999999999</v>
      </c>
      <c r="DI101">
        <f>238.029</f>
        <v>238.029</v>
      </c>
      <c r="DJ101">
        <f>247.768</f>
        <v>247.768</v>
      </c>
      <c r="DK101">
        <f>241.76</f>
        <v>241.76</v>
      </c>
      <c r="DL101">
        <f>247.085</f>
        <v>247.08500000000001</v>
      </c>
      <c r="DM101">
        <f>242.252</f>
        <v>242.25200000000001</v>
      </c>
      <c r="DN101">
        <f>250.02</f>
        <v>250.02</v>
      </c>
      <c r="DO101">
        <f>214.699</f>
        <v>214.69900000000001</v>
      </c>
      <c r="DP101">
        <f>223.255</f>
        <v>223.255</v>
      </c>
      <c r="DQ101">
        <f>230.915</f>
        <v>230.91499999999999</v>
      </c>
      <c r="DR101">
        <f>239.138</f>
        <v>239.13800000000001</v>
      </c>
      <c r="DS101">
        <f>226.8</f>
        <v>226.8</v>
      </c>
      <c r="DT101">
        <f>218.343</f>
        <v>218.34299999999999</v>
      </c>
      <c r="DU101" t="str">
        <f>""</f>
        <v/>
      </c>
    </row>
    <row r="102" spans="1:125" x14ac:dyDescent="0.25">
      <c r="A102" t="str">
        <f>"            PNC Financial Services Group I"</f>
        <v xml:space="preserve">            PNC Financial Services Group I</v>
      </c>
      <c r="B102" t="str">
        <f>"PNC US Equity"</f>
        <v>PNC US Equity</v>
      </c>
      <c r="C102" t="str">
        <f t="shared" si="12"/>
        <v>FR531</v>
      </c>
      <c r="D102" t="str">
        <f t="shared" si="13"/>
        <v>FED_INVT_IN_RE_VENTURES</v>
      </c>
      <c r="E102" t="str">
        <f t="shared" si="14"/>
        <v>Dynamic</v>
      </c>
      <c r="F102" t="str">
        <f ca="1">IF(AND(ISNUMBER($F$240),$B$145=1),$F$240,HLOOKUP(INDIRECT(ADDRESS(2,COLUMN())),OFFSET($BN$2,0,0,ROW()-1,60),ROW()-1,FALSE))</f>
        <v/>
      </c>
      <c r="G102">
        <f ca="1">IF(AND(ISNUMBER($G$240),$B$145=1),$G$240,HLOOKUP(INDIRECT(ADDRESS(2,COLUMN())),OFFSET($BN$2,0,0,ROW()-1,60),ROW()-1,FALSE))</f>
        <v>0</v>
      </c>
      <c r="H102">
        <f ca="1">IF(AND(ISNUMBER($H$240),$B$145=1),$H$240,HLOOKUP(INDIRECT(ADDRESS(2,COLUMN())),OFFSET($BN$2,0,0,ROW()-1,60),ROW()-1,FALSE))</f>
        <v>0</v>
      </c>
      <c r="I102">
        <f ca="1">IF(AND(ISNUMBER($I$240),$B$145=1),$I$240,HLOOKUP(INDIRECT(ADDRESS(2,COLUMN())),OFFSET($BN$2,0,0,ROW()-1,60),ROW()-1,FALSE))</f>
        <v>0</v>
      </c>
      <c r="J102">
        <f ca="1">IF(AND(ISNUMBER($J$240),$B$145=1),$J$240,HLOOKUP(INDIRECT(ADDRESS(2,COLUMN())),OFFSET($BN$2,0,0,ROW()-1,60),ROW()-1,FALSE))</f>
        <v>0</v>
      </c>
      <c r="K102">
        <f ca="1">IF(AND(ISNUMBER($K$240),$B$145=1),$K$240,HLOOKUP(INDIRECT(ADDRESS(2,COLUMN())),OFFSET($BN$2,0,0,ROW()-1,60),ROW()-1,FALSE))</f>
        <v>0</v>
      </c>
      <c r="L102">
        <f ca="1">IF(AND(ISNUMBER($L$240),$B$145=1),$L$240,HLOOKUP(INDIRECT(ADDRESS(2,COLUMN())),OFFSET($BN$2,0,0,ROW()-1,60),ROW()-1,FALSE))</f>
        <v>0</v>
      </c>
      <c r="M102">
        <f ca="1">IF(AND(ISNUMBER($M$240),$B$145=1),$M$240,HLOOKUP(INDIRECT(ADDRESS(2,COLUMN())),OFFSET($BN$2,0,0,ROW()-1,60),ROW()-1,FALSE))</f>
        <v>0</v>
      </c>
      <c r="N102">
        <f ca="1">IF(AND(ISNUMBER($N$240),$B$145=1),$N$240,HLOOKUP(INDIRECT(ADDRESS(2,COLUMN())),OFFSET($BN$2,0,0,ROW()-1,60),ROW()-1,FALSE))</f>
        <v>0</v>
      </c>
      <c r="O102">
        <f ca="1">IF(AND(ISNUMBER($O$240),$B$145=1),$O$240,HLOOKUP(INDIRECT(ADDRESS(2,COLUMN())),OFFSET($BN$2,0,0,ROW()-1,60),ROW()-1,FALSE))</f>
        <v>0</v>
      </c>
      <c r="P102">
        <f ca="1">IF(AND(ISNUMBER($P$240),$B$145=1),$P$240,HLOOKUP(INDIRECT(ADDRESS(2,COLUMN())),OFFSET($BN$2,0,0,ROW()-1,60),ROW()-1,FALSE))</f>
        <v>0</v>
      </c>
      <c r="Q102">
        <f ca="1">IF(AND(ISNUMBER($Q$240),$B$145=1),$Q$240,HLOOKUP(INDIRECT(ADDRESS(2,COLUMN())),OFFSET($BN$2,0,0,ROW()-1,60),ROW()-1,FALSE))</f>
        <v>0</v>
      </c>
      <c r="R102">
        <f ca="1">IF(AND(ISNUMBER($R$240),$B$145=1),$R$240,HLOOKUP(INDIRECT(ADDRESS(2,COLUMN())),OFFSET($BN$2,0,0,ROW()-1,60),ROW()-1,FALSE))</f>
        <v>0</v>
      </c>
      <c r="S102">
        <f ca="1">IF(AND(ISNUMBER($S$240),$B$145=1),$S$240,HLOOKUP(INDIRECT(ADDRESS(2,COLUMN())),OFFSET($BN$2,0,0,ROW()-1,60),ROW()-1,FALSE))</f>
        <v>0</v>
      </c>
      <c r="T102">
        <f ca="1">IF(AND(ISNUMBER($T$240),$B$145=1),$T$240,HLOOKUP(INDIRECT(ADDRESS(2,COLUMN())),OFFSET($BN$2,0,0,ROW()-1,60),ROW()-1,FALSE))</f>
        <v>0</v>
      </c>
      <c r="U102">
        <f ca="1">IF(AND(ISNUMBER($U$240),$B$145=1),$U$240,HLOOKUP(INDIRECT(ADDRESS(2,COLUMN())),OFFSET($BN$2,0,0,ROW()-1,60),ROW()-1,FALSE))</f>
        <v>0</v>
      </c>
      <c r="V102">
        <f ca="1">IF(AND(ISNUMBER($V$240),$B$145=1),$V$240,HLOOKUP(INDIRECT(ADDRESS(2,COLUMN())),OFFSET($BN$2,0,0,ROW()-1,60),ROW()-1,FALSE))</f>
        <v>0</v>
      </c>
      <c r="W102">
        <f ca="1">IF(AND(ISNUMBER($W$240),$B$145=1),$W$240,HLOOKUP(INDIRECT(ADDRESS(2,COLUMN())),OFFSET($BN$2,0,0,ROW()-1,60),ROW()-1,FALSE))</f>
        <v>0</v>
      </c>
      <c r="X102">
        <f ca="1">IF(AND(ISNUMBER($X$240),$B$145=1),$X$240,HLOOKUP(INDIRECT(ADDRESS(2,COLUMN())),OFFSET($BN$2,0,0,ROW()-1,60),ROW()-1,FALSE))</f>
        <v>0</v>
      </c>
      <c r="Y102">
        <f ca="1">IF(AND(ISNUMBER($Y$240),$B$145=1),$Y$240,HLOOKUP(INDIRECT(ADDRESS(2,COLUMN())),OFFSET($BN$2,0,0,ROW()-1,60),ROW()-1,FALSE))</f>
        <v>0</v>
      </c>
      <c r="Z102">
        <f ca="1">IF(AND(ISNUMBER($Z$240),$B$145=1),$Z$240,HLOOKUP(INDIRECT(ADDRESS(2,COLUMN())),OFFSET($BN$2,0,0,ROW()-1,60),ROW()-1,FALSE))</f>
        <v>0</v>
      </c>
      <c r="AA102">
        <f ca="1">IF(AND(ISNUMBER($AA$240),$B$145=1),$AA$240,HLOOKUP(INDIRECT(ADDRESS(2,COLUMN())),OFFSET($BN$2,0,0,ROW()-1,60),ROW()-1,FALSE))</f>
        <v>0</v>
      </c>
      <c r="AB102">
        <f ca="1">IF(AND(ISNUMBER($AB$240),$B$145=1),$AB$240,HLOOKUP(INDIRECT(ADDRESS(2,COLUMN())),OFFSET($BN$2,0,0,ROW()-1,60),ROW()-1,FALSE))</f>
        <v>0</v>
      </c>
      <c r="AC102">
        <f ca="1">IF(AND(ISNUMBER($AC$240),$B$145=1),$AC$240,HLOOKUP(INDIRECT(ADDRESS(2,COLUMN())),OFFSET($BN$2,0,0,ROW()-1,60),ROW()-1,FALSE))</f>
        <v>0</v>
      </c>
      <c r="AD102">
        <f ca="1">IF(AND(ISNUMBER($AD$240),$B$145=1),$AD$240,HLOOKUP(INDIRECT(ADDRESS(2,COLUMN())),OFFSET($BN$2,0,0,ROW()-1,60),ROW()-1,FALSE))</f>
        <v>0</v>
      </c>
      <c r="AE102">
        <f ca="1">IF(AND(ISNUMBER($AE$240),$B$145=1),$AE$240,HLOOKUP(INDIRECT(ADDRESS(2,COLUMN())),OFFSET($BN$2,0,0,ROW()-1,60),ROW()-1,FALSE))</f>
        <v>0</v>
      </c>
      <c r="AF102">
        <f ca="1">IF(AND(ISNUMBER($AF$240),$B$145=1),$AF$240,HLOOKUP(INDIRECT(ADDRESS(2,COLUMN())),OFFSET($BN$2,0,0,ROW()-1,60),ROW()-1,FALSE))</f>
        <v>0</v>
      </c>
      <c r="AG102">
        <f ca="1">IF(AND(ISNUMBER($AG$240),$B$145=1),$AG$240,HLOOKUP(INDIRECT(ADDRESS(2,COLUMN())),OFFSET($BN$2,0,0,ROW()-1,60),ROW()-1,FALSE))</f>
        <v>0</v>
      </c>
      <c r="AH102">
        <f ca="1">IF(AND(ISNUMBER($AH$240),$B$145=1),$AH$240,HLOOKUP(INDIRECT(ADDRESS(2,COLUMN())),OFFSET($BN$2,0,0,ROW()-1,60),ROW()-1,FALSE))</f>
        <v>0</v>
      </c>
      <c r="AI102">
        <f ca="1">IF(AND(ISNUMBER($AI$240),$B$145=1),$AI$240,HLOOKUP(INDIRECT(ADDRESS(2,COLUMN())),OFFSET($BN$2,0,0,ROW()-1,60),ROW()-1,FALSE))</f>
        <v>0</v>
      </c>
      <c r="AJ102">
        <f ca="1">IF(AND(ISNUMBER($AJ$240),$B$145=1),$AJ$240,HLOOKUP(INDIRECT(ADDRESS(2,COLUMN())),OFFSET($BN$2,0,0,ROW()-1,60),ROW()-1,FALSE))</f>
        <v>0</v>
      </c>
      <c r="AK102">
        <f ca="1">IF(AND(ISNUMBER($AK$240),$B$145=1),$AK$240,HLOOKUP(INDIRECT(ADDRESS(2,COLUMN())),OFFSET($BN$2,0,0,ROW()-1,60),ROW()-1,FALSE))</f>
        <v>0</v>
      </c>
      <c r="AL102">
        <f ca="1">IF(AND(ISNUMBER($AL$240),$B$145=1),$AL$240,HLOOKUP(INDIRECT(ADDRESS(2,COLUMN())),OFFSET($BN$2,0,0,ROW()-1,60),ROW()-1,FALSE))</f>
        <v>0</v>
      </c>
      <c r="AM102">
        <f ca="1">IF(AND(ISNUMBER($AM$240),$B$145=1),$AM$240,HLOOKUP(INDIRECT(ADDRESS(2,COLUMN())),OFFSET($BN$2,0,0,ROW()-1,60),ROW()-1,FALSE))</f>
        <v>0</v>
      </c>
      <c r="AN102">
        <f ca="1">IF(AND(ISNUMBER($AN$240),$B$145=1),$AN$240,HLOOKUP(INDIRECT(ADDRESS(2,COLUMN())),OFFSET($BN$2,0,0,ROW()-1,60),ROW()-1,FALSE))</f>
        <v>0</v>
      </c>
      <c r="AO102">
        <f ca="1">IF(AND(ISNUMBER($AO$240),$B$145=1),$AO$240,HLOOKUP(INDIRECT(ADDRESS(2,COLUMN())),OFFSET($BN$2,0,0,ROW()-1,60),ROW()-1,FALSE))</f>
        <v>0</v>
      </c>
      <c r="AP102">
        <f ca="1">IF(AND(ISNUMBER($AP$240),$B$145=1),$AP$240,HLOOKUP(INDIRECT(ADDRESS(2,COLUMN())),OFFSET($BN$2,0,0,ROW()-1,60),ROW()-1,FALSE))</f>
        <v>0</v>
      </c>
      <c r="AQ102">
        <f ca="1">IF(AND(ISNUMBER($AQ$240),$B$145=1),$AQ$240,HLOOKUP(INDIRECT(ADDRESS(2,COLUMN())),OFFSET($BN$2,0,0,ROW()-1,60),ROW()-1,FALSE))</f>
        <v>0</v>
      </c>
      <c r="AR102">
        <f ca="1">IF(AND(ISNUMBER($AR$240),$B$145=1),$AR$240,HLOOKUP(INDIRECT(ADDRESS(2,COLUMN())),OFFSET($BN$2,0,0,ROW()-1,60),ROW()-1,FALSE))</f>
        <v>0</v>
      </c>
      <c r="AS102">
        <f ca="1">IF(AND(ISNUMBER($AS$240),$B$145=1),$AS$240,HLOOKUP(INDIRECT(ADDRESS(2,COLUMN())),OFFSET($BN$2,0,0,ROW()-1,60),ROW()-1,FALSE))</f>
        <v>0</v>
      </c>
      <c r="AT102">
        <f ca="1">IF(AND(ISNUMBER($AT$240),$B$145=1),$AT$240,HLOOKUP(INDIRECT(ADDRESS(2,COLUMN())),OFFSET($BN$2,0,0,ROW()-1,60),ROW()-1,FALSE))</f>
        <v>0</v>
      </c>
      <c r="AU102">
        <f ca="1">IF(AND(ISNUMBER($AU$240),$B$145=1),$AU$240,HLOOKUP(INDIRECT(ADDRESS(2,COLUMN())),OFFSET($BN$2,0,0,ROW()-1,60),ROW()-1,FALSE))</f>
        <v>0</v>
      </c>
      <c r="AV102">
        <f ca="1">IF(AND(ISNUMBER($AV$240),$B$145=1),$AV$240,HLOOKUP(INDIRECT(ADDRESS(2,COLUMN())),OFFSET($BN$2,0,0,ROW()-1,60),ROW()-1,FALSE))</f>
        <v>0</v>
      </c>
      <c r="AW102">
        <f ca="1">IF(AND(ISNUMBER($AW$240),$B$145=1),$AW$240,HLOOKUP(INDIRECT(ADDRESS(2,COLUMN())),OFFSET($BN$2,0,0,ROW()-1,60),ROW()-1,FALSE))</f>
        <v>0</v>
      </c>
      <c r="AX102">
        <f ca="1">IF(AND(ISNUMBER($AX$240),$B$145=1),$AX$240,HLOOKUP(INDIRECT(ADDRESS(2,COLUMN())),OFFSET($BN$2,0,0,ROW()-1,60),ROW()-1,FALSE))</f>
        <v>0</v>
      </c>
      <c r="AY102">
        <f ca="1">IF(AND(ISNUMBER($AY$240),$B$145=1),$AY$240,HLOOKUP(INDIRECT(ADDRESS(2,COLUMN())),OFFSET($BN$2,0,0,ROW()-1,60),ROW()-1,FALSE))</f>
        <v>0</v>
      </c>
      <c r="AZ102">
        <f ca="1">IF(AND(ISNUMBER($AZ$240),$B$145=1),$AZ$240,HLOOKUP(INDIRECT(ADDRESS(2,COLUMN())),OFFSET($BN$2,0,0,ROW()-1,60),ROW()-1,FALSE))</f>
        <v>0</v>
      </c>
      <c r="BA102">
        <f ca="1">IF(AND(ISNUMBER($BA$240),$B$145=1),$BA$240,HLOOKUP(INDIRECT(ADDRESS(2,COLUMN())),OFFSET($BN$2,0,0,ROW()-1,60),ROW()-1,FALSE))</f>
        <v>0</v>
      </c>
      <c r="BB102">
        <f ca="1">IF(AND(ISNUMBER($BB$240),$B$145=1),$BB$240,HLOOKUP(INDIRECT(ADDRESS(2,COLUMN())),OFFSET($BN$2,0,0,ROW()-1,60),ROW()-1,FALSE))</f>
        <v>0</v>
      </c>
      <c r="BC102">
        <f ca="1">IF(AND(ISNUMBER($BC$240),$B$145=1),$BC$240,HLOOKUP(INDIRECT(ADDRESS(2,COLUMN())),OFFSET($BN$2,0,0,ROW()-1,60),ROW()-1,FALSE))</f>
        <v>0</v>
      </c>
      <c r="BD102">
        <f ca="1">IF(AND(ISNUMBER($BD$240),$B$145=1),$BD$240,HLOOKUP(INDIRECT(ADDRESS(2,COLUMN())),OFFSET($BN$2,0,0,ROW()-1,60),ROW()-1,FALSE))</f>
        <v>0</v>
      </c>
      <c r="BE102">
        <f ca="1">IF(AND(ISNUMBER($BE$240),$B$145=1),$BE$240,HLOOKUP(INDIRECT(ADDRESS(2,COLUMN())),OFFSET($BN$2,0,0,ROW()-1,60),ROW()-1,FALSE))</f>
        <v>0</v>
      </c>
      <c r="BF102">
        <f ca="1">IF(AND(ISNUMBER($BF$240),$B$145=1),$BF$240,HLOOKUP(INDIRECT(ADDRESS(2,COLUMN())),OFFSET($BN$2,0,0,ROW()-1,60),ROW()-1,FALSE))</f>
        <v>0</v>
      </c>
      <c r="BG102">
        <f ca="1">IF(AND(ISNUMBER($BG$240),$B$145=1),$BG$240,HLOOKUP(INDIRECT(ADDRESS(2,COLUMN())),OFFSET($BN$2,0,0,ROW()-1,60),ROW()-1,FALSE))</f>
        <v>0</v>
      </c>
      <c r="BH102">
        <f ca="1">IF(AND(ISNUMBER($BH$240),$B$145=1),$BH$240,HLOOKUP(INDIRECT(ADDRESS(2,COLUMN())),OFFSET($BN$2,0,0,ROW()-1,60),ROW()-1,FALSE))</f>
        <v>0</v>
      </c>
      <c r="BI102">
        <f ca="1">IF(AND(ISNUMBER($BI$240),$B$145=1),$BI$240,HLOOKUP(INDIRECT(ADDRESS(2,COLUMN())),OFFSET($BN$2,0,0,ROW()-1,60),ROW()-1,FALSE))</f>
        <v>0</v>
      </c>
      <c r="BJ102">
        <f ca="1">IF(AND(ISNUMBER($BJ$240),$B$145=1),$BJ$240,HLOOKUP(INDIRECT(ADDRESS(2,COLUMN())),OFFSET($BN$2,0,0,ROW()-1,60),ROW()-1,FALSE))</f>
        <v>0</v>
      </c>
      <c r="BK102">
        <f ca="1">IF(AND(ISNUMBER($BK$240),$B$145=1),$BK$240,HLOOKUP(INDIRECT(ADDRESS(2,COLUMN())),OFFSET($BN$2,0,0,ROW()-1,60),ROW()-1,FALSE))</f>
        <v>0</v>
      </c>
      <c r="BL102">
        <f ca="1">IF(AND(ISNUMBER($BL$240),$B$145=1),$BL$240,HLOOKUP(INDIRECT(ADDRESS(2,COLUMN())),OFFSET($BN$2,0,0,ROW()-1,60),ROW()-1,FALSE))</f>
        <v>0</v>
      </c>
      <c r="BM102">
        <f ca="1">IF(AND(ISNUMBER($BM$240),$B$145=1),$BM$240,HLOOKUP(INDIRECT(ADDRESS(2,COLUMN())),OFFSET($BN$2,0,0,ROW()-1,60),ROW()-1,FALSE))</f>
        <v>0</v>
      </c>
      <c r="BN102" t="str">
        <f>""</f>
        <v/>
      </c>
      <c r="BO102">
        <f>0</f>
        <v>0</v>
      </c>
      <c r="BP102">
        <f>0</f>
        <v>0</v>
      </c>
      <c r="BQ102">
        <f>0</f>
        <v>0</v>
      </c>
      <c r="BR102">
        <f>0</f>
        <v>0</v>
      </c>
      <c r="BS102">
        <f>0</f>
        <v>0</v>
      </c>
      <c r="BT102">
        <f>0</f>
        <v>0</v>
      </c>
      <c r="BU102">
        <f>0</f>
        <v>0</v>
      </c>
      <c r="BV102">
        <f>0</f>
        <v>0</v>
      </c>
      <c r="BW102">
        <f>0</f>
        <v>0</v>
      </c>
      <c r="BX102">
        <f>0</f>
        <v>0</v>
      </c>
      <c r="BY102">
        <f>0</f>
        <v>0</v>
      </c>
      <c r="BZ102">
        <f>0</f>
        <v>0</v>
      </c>
      <c r="CA102">
        <f>0</f>
        <v>0</v>
      </c>
      <c r="CB102">
        <f>0</f>
        <v>0</v>
      </c>
      <c r="CC102">
        <f>0</f>
        <v>0</v>
      </c>
      <c r="CD102">
        <f>0</f>
        <v>0</v>
      </c>
      <c r="CE102">
        <f>0</f>
        <v>0</v>
      </c>
      <c r="CF102">
        <f>0</f>
        <v>0</v>
      </c>
      <c r="CG102">
        <f>0</f>
        <v>0</v>
      </c>
      <c r="CH102">
        <f>0</f>
        <v>0</v>
      </c>
      <c r="CI102">
        <f>0</f>
        <v>0</v>
      </c>
      <c r="CJ102">
        <f>0</f>
        <v>0</v>
      </c>
      <c r="CK102">
        <f>0</f>
        <v>0</v>
      </c>
      <c r="CL102">
        <f>0</f>
        <v>0</v>
      </c>
      <c r="CM102">
        <f>0</f>
        <v>0</v>
      </c>
      <c r="CN102">
        <f>0</f>
        <v>0</v>
      </c>
      <c r="CO102">
        <f>0</f>
        <v>0</v>
      </c>
      <c r="CP102">
        <f>0</f>
        <v>0</v>
      </c>
      <c r="CQ102">
        <f>0</f>
        <v>0</v>
      </c>
      <c r="CR102">
        <f>0</f>
        <v>0</v>
      </c>
      <c r="CS102">
        <f>0</f>
        <v>0</v>
      </c>
      <c r="CT102">
        <f>0</f>
        <v>0</v>
      </c>
      <c r="CU102">
        <f>0</f>
        <v>0</v>
      </c>
      <c r="CV102">
        <f>0</f>
        <v>0</v>
      </c>
      <c r="CW102">
        <f>0</f>
        <v>0</v>
      </c>
      <c r="CX102">
        <f>0</f>
        <v>0</v>
      </c>
      <c r="CY102">
        <f>0</f>
        <v>0</v>
      </c>
      <c r="CZ102">
        <f>0</f>
        <v>0</v>
      </c>
      <c r="DA102">
        <f>0</f>
        <v>0</v>
      </c>
      <c r="DB102">
        <f>0</f>
        <v>0</v>
      </c>
      <c r="DC102">
        <f>0</f>
        <v>0</v>
      </c>
      <c r="DD102">
        <f>0</f>
        <v>0</v>
      </c>
      <c r="DE102">
        <f>0</f>
        <v>0</v>
      </c>
      <c r="DF102">
        <f>0</f>
        <v>0</v>
      </c>
      <c r="DG102">
        <f>0</f>
        <v>0</v>
      </c>
      <c r="DH102">
        <f>0</f>
        <v>0</v>
      </c>
      <c r="DI102">
        <f>0</f>
        <v>0</v>
      </c>
      <c r="DJ102">
        <f>0</f>
        <v>0</v>
      </c>
      <c r="DK102">
        <f>0</f>
        <v>0</v>
      </c>
      <c r="DL102">
        <f>0</f>
        <v>0</v>
      </c>
      <c r="DM102">
        <f>0</f>
        <v>0</v>
      </c>
      <c r="DN102">
        <f>0</f>
        <v>0</v>
      </c>
      <c r="DO102">
        <f>0</f>
        <v>0</v>
      </c>
      <c r="DP102">
        <f>0</f>
        <v>0</v>
      </c>
      <c r="DQ102">
        <f>0</f>
        <v>0</v>
      </c>
      <c r="DR102">
        <f>0</f>
        <v>0</v>
      </c>
      <c r="DS102">
        <f>0</f>
        <v>0</v>
      </c>
      <c r="DT102">
        <f>0</f>
        <v>0</v>
      </c>
      <c r="DU102">
        <f>0</f>
        <v>0</v>
      </c>
    </row>
    <row r="103" spans="1:125" x14ac:dyDescent="0.25">
      <c r="A103" t="str">
        <f>"            Regions Financial Corp"</f>
        <v xml:space="preserve">            Regions Financial Corp</v>
      </c>
      <c r="B103" t="str">
        <f>"RF US Equity"</f>
        <v>RF US Equity</v>
      </c>
      <c r="C103" t="str">
        <f t="shared" si="12"/>
        <v>FR531</v>
      </c>
      <c r="D103" t="str">
        <f t="shared" si="13"/>
        <v>FED_INVT_IN_RE_VENTURES</v>
      </c>
      <c r="E103" t="str">
        <f t="shared" si="14"/>
        <v>Dynamic</v>
      </c>
      <c r="F103" t="str">
        <f ca="1">IF(AND(ISNUMBER($F$241),$B$145=1),$F$241,HLOOKUP(INDIRECT(ADDRESS(2,COLUMN())),OFFSET($BN$2,0,0,ROW()-1,60),ROW()-1,FALSE))</f>
        <v/>
      </c>
      <c r="G103">
        <f ca="1">IF(AND(ISNUMBER($G$241),$B$145=1),$G$241,HLOOKUP(INDIRECT(ADDRESS(2,COLUMN())),OFFSET($BN$2,0,0,ROW()-1,60),ROW()-1,FALSE))</f>
        <v>0</v>
      </c>
      <c r="H103">
        <f ca="1">IF(AND(ISNUMBER($H$241),$B$145=1),$H$241,HLOOKUP(INDIRECT(ADDRESS(2,COLUMN())),OFFSET($BN$2,0,0,ROW()-1,60),ROW()-1,FALSE))</f>
        <v>0</v>
      </c>
      <c r="I103">
        <f ca="1">IF(AND(ISNUMBER($I$241),$B$145=1),$I$241,HLOOKUP(INDIRECT(ADDRESS(2,COLUMN())),OFFSET($BN$2,0,0,ROW()-1,60),ROW()-1,FALSE))</f>
        <v>0</v>
      </c>
      <c r="J103">
        <f ca="1">IF(AND(ISNUMBER($J$241),$B$145=1),$J$241,HLOOKUP(INDIRECT(ADDRESS(2,COLUMN())),OFFSET($BN$2,0,0,ROW()-1,60),ROW()-1,FALSE))</f>
        <v>0</v>
      </c>
      <c r="K103">
        <f ca="1">IF(AND(ISNUMBER($K$241),$B$145=1),$K$241,HLOOKUP(INDIRECT(ADDRESS(2,COLUMN())),OFFSET($BN$2,0,0,ROW()-1,60),ROW()-1,FALSE))</f>
        <v>0</v>
      </c>
      <c r="L103">
        <f ca="1">IF(AND(ISNUMBER($L$241),$B$145=1),$L$241,HLOOKUP(INDIRECT(ADDRESS(2,COLUMN())),OFFSET($BN$2,0,0,ROW()-1,60),ROW()-1,FALSE))</f>
        <v>0</v>
      </c>
      <c r="M103">
        <f ca="1">IF(AND(ISNUMBER($M$241),$B$145=1),$M$241,HLOOKUP(INDIRECT(ADDRESS(2,COLUMN())),OFFSET($BN$2,0,0,ROW()-1,60),ROW()-1,FALSE))</f>
        <v>0</v>
      </c>
      <c r="N103">
        <f ca="1">IF(AND(ISNUMBER($N$241),$B$145=1),$N$241,HLOOKUP(INDIRECT(ADDRESS(2,COLUMN())),OFFSET($BN$2,0,0,ROW()-1,60),ROW()-1,FALSE))</f>
        <v>0</v>
      </c>
      <c r="O103">
        <f ca="1">IF(AND(ISNUMBER($O$241),$B$145=1),$O$241,HLOOKUP(INDIRECT(ADDRESS(2,COLUMN())),OFFSET($BN$2,0,0,ROW()-1,60),ROW()-1,FALSE))</f>
        <v>0</v>
      </c>
      <c r="P103">
        <f ca="1">IF(AND(ISNUMBER($P$241),$B$145=1),$P$241,HLOOKUP(INDIRECT(ADDRESS(2,COLUMN())),OFFSET($BN$2,0,0,ROW()-1,60),ROW()-1,FALSE))</f>
        <v>0</v>
      </c>
      <c r="Q103">
        <f ca="1">IF(AND(ISNUMBER($Q$241),$B$145=1),$Q$241,HLOOKUP(INDIRECT(ADDRESS(2,COLUMN())),OFFSET($BN$2,0,0,ROW()-1,60),ROW()-1,FALSE))</f>
        <v>0</v>
      </c>
      <c r="R103">
        <f ca="1">IF(AND(ISNUMBER($R$241),$B$145=1),$R$241,HLOOKUP(INDIRECT(ADDRESS(2,COLUMN())),OFFSET($BN$2,0,0,ROW()-1,60),ROW()-1,FALSE))</f>
        <v>0</v>
      </c>
      <c r="S103">
        <f ca="1">IF(AND(ISNUMBER($S$241),$B$145=1),$S$241,HLOOKUP(INDIRECT(ADDRESS(2,COLUMN())),OFFSET($BN$2,0,0,ROW()-1,60),ROW()-1,FALSE))</f>
        <v>0</v>
      </c>
      <c r="T103">
        <f ca="1">IF(AND(ISNUMBER($T$241),$B$145=1),$T$241,HLOOKUP(INDIRECT(ADDRESS(2,COLUMN())),OFFSET($BN$2,0,0,ROW()-1,60),ROW()-1,FALSE))</f>
        <v>0</v>
      </c>
      <c r="U103">
        <f ca="1">IF(AND(ISNUMBER($U$241),$B$145=1),$U$241,HLOOKUP(INDIRECT(ADDRESS(2,COLUMN())),OFFSET($BN$2,0,0,ROW()-1,60),ROW()-1,FALSE))</f>
        <v>0</v>
      </c>
      <c r="V103">
        <f ca="1">IF(AND(ISNUMBER($V$241),$B$145=1),$V$241,HLOOKUP(INDIRECT(ADDRESS(2,COLUMN())),OFFSET($BN$2,0,0,ROW()-1,60),ROW()-1,FALSE))</f>
        <v>0</v>
      </c>
      <c r="W103">
        <f ca="1">IF(AND(ISNUMBER($W$241),$B$145=1),$W$241,HLOOKUP(INDIRECT(ADDRESS(2,COLUMN())),OFFSET($BN$2,0,0,ROW()-1,60),ROW()-1,FALSE))</f>
        <v>0</v>
      </c>
      <c r="X103">
        <f ca="1">IF(AND(ISNUMBER($X$241),$B$145=1),$X$241,HLOOKUP(INDIRECT(ADDRESS(2,COLUMN())),OFFSET($BN$2,0,0,ROW()-1,60),ROW()-1,FALSE))</f>
        <v>0</v>
      </c>
      <c r="Y103">
        <f ca="1">IF(AND(ISNUMBER($Y$241),$B$145=1),$Y$241,HLOOKUP(INDIRECT(ADDRESS(2,COLUMN())),OFFSET($BN$2,0,0,ROW()-1,60),ROW()-1,FALSE))</f>
        <v>0</v>
      </c>
      <c r="Z103">
        <f ca="1">IF(AND(ISNUMBER($Z$241),$B$145=1),$Z$241,HLOOKUP(INDIRECT(ADDRESS(2,COLUMN())),OFFSET($BN$2,0,0,ROW()-1,60),ROW()-1,FALSE))</f>
        <v>0</v>
      </c>
      <c r="AA103">
        <f ca="1">IF(AND(ISNUMBER($AA$241),$B$145=1),$AA$241,HLOOKUP(INDIRECT(ADDRESS(2,COLUMN())),OFFSET($BN$2,0,0,ROW()-1,60),ROW()-1,FALSE))</f>
        <v>0</v>
      </c>
      <c r="AB103">
        <f ca="1">IF(AND(ISNUMBER($AB$241),$B$145=1),$AB$241,HLOOKUP(INDIRECT(ADDRESS(2,COLUMN())),OFFSET($BN$2,0,0,ROW()-1,60),ROW()-1,FALSE))</f>
        <v>0</v>
      </c>
      <c r="AC103">
        <f ca="1">IF(AND(ISNUMBER($AC$241),$B$145=1),$AC$241,HLOOKUP(INDIRECT(ADDRESS(2,COLUMN())),OFFSET($BN$2,0,0,ROW()-1,60),ROW()-1,FALSE))</f>
        <v>0</v>
      </c>
      <c r="AD103">
        <f ca="1">IF(AND(ISNUMBER($AD$241),$B$145=1),$AD$241,HLOOKUP(INDIRECT(ADDRESS(2,COLUMN())),OFFSET($BN$2,0,0,ROW()-1,60),ROW()-1,FALSE))</f>
        <v>0</v>
      </c>
      <c r="AE103">
        <f ca="1">IF(AND(ISNUMBER($AE$241),$B$145=1),$AE$241,HLOOKUP(INDIRECT(ADDRESS(2,COLUMN())),OFFSET($BN$2,0,0,ROW()-1,60),ROW()-1,FALSE))</f>
        <v>0</v>
      </c>
      <c r="AF103">
        <f ca="1">IF(AND(ISNUMBER($AF$241),$B$145=1),$AF$241,HLOOKUP(INDIRECT(ADDRESS(2,COLUMN())),OFFSET($BN$2,0,0,ROW()-1,60),ROW()-1,FALSE))</f>
        <v>0</v>
      </c>
      <c r="AG103">
        <f ca="1">IF(AND(ISNUMBER($AG$241),$B$145=1),$AG$241,HLOOKUP(INDIRECT(ADDRESS(2,COLUMN())),OFFSET($BN$2,0,0,ROW()-1,60),ROW()-1,FALSE))</f>
        <v>0</v>
      </c>
      <c r="AH103">
        <f ca="1">IF(AND(ISNUMBER($AH$241),$B$145=1),$AH$241,HLOOKUP(INDIRECT(ADDRESS(2,COLUMN())),OFFSET($BN$2,0,0,ROW()-1,60),ROW()-1,FALSE))</f>
        <v>0</v>
      </c>
      <c r="AI103">
        <f ca="1">IF(AND(ISNUMBER($AI$241),$B$145=1),$AI$241,HLOOKUP(INDIRECT(ADDRESS(2,COLUMN())),OFFSET($BN$2,0,0,ROW()-1,60),ROW()-1,FALSE))</f>
        <v>0</v>
      </c>
      <c r="AJ103">
        <f ca="1">IF(AND(ISNUMBER($AJ$241),$B$145=1),$AJ$241,HLOOKUP(INDIRECT(ADDRESS(2,COLUMN())),OFFSET($BN$2,0,0,ROW()-1,60),ROW()-1,FALSE))</f>
        <v>0</v>
      </c>
      <c r="AK103">
        <f ca="1">IF(AND(ISNUMBER($AK$241),$B$145=1),$AK$241,HLOOKUP(INDIRECT(ADDRESS(2,COLUMN())),OFFSET($BN$2,0,0,ROW()-1,60),ROW()-1,FALSE))</f>
        <v>0</v>
      </c>
      <c r="AL103">
        <f ca="1">IF(AND(ISNUMBER($AL$241),$B$145=1),$AL$241,HLOOKUP(INDIRECT(ADDRESS(2,COLUMN())),OFFSET($BN$2,0,0,ROW()-1,60),ROW()-1,FALSE))</f>
        <v>0</v>
      </c>
      <c r="AM103">
        <f ca="1">IF(AND(ISNUMBER($AM$241),$B$145=1),$AM$241,HLOOKUP(INDIRECT(ADDRESS(2,COLUMN())),OFFSET($BN$2,0,0,ROW()-1,60),ROW()-1,FALSE))</f>
        <v>0</v>
      </c>
      <c r="AN103">
        <f ca="1">IF(AND(ISNUMBER($AN$241),$B$145=1),$AN$241,HLOOKUP(INDIRECT(ADDRESS(2,COLUMN())),OFFSET($BN$2,0,0,ROW()-1,60),ROW()-1,FALSE))</f>
        <v>0</v>
      </c>
      <c r="AO103">
        <f ca="1">IF(AND(ISNUMBER($AO$241),$B$145=1),$AO$241,HLOOKUP(INDIRECT(ADDRESS(2,COLUMN())),OFFSET($BN$2,0,0,ROW()-1,60),ROW()-1,FALSE))</f>
        <v>0</v>
      </c>
      <c r="AP103">
        <f ca="1">IF(AND(ISNUMBER($AP$241),$B$145=1),$AP$241,HLOOKUP(INDIRECT(ADDRESS(2,COLUMN())),OFFSET($BN$2,0,0,ROW()-1,60),ROW()-1,FALSE))</f>
        <v>0</v>
      </c>
      <c r="AQ103">
        <f ca="1">IF(AND(ISNUMBER($AQ$241),$B$145=1),$AQ$241,HLOOKUP(INDIRECT(ADDRESS(2,COLUMN())),OFFSET($BN$2,0,0,ROW()-1,60),ROW()-1,FALSE))</f>
        <v>0</v>
      </c>
      <c r="AR103">
        <f ca="1">IF(AND(ISNUMBER($AR$241),$B$145=1),$AR$241,HLOOKUP(INDIRECT(ADDRESS(2,COLUMN())),OFFSET($BN$2,0,0,ROW()-1,60),ROW()-1,FALSE))</f>
        <v>0</v>
      </c>
      <c r="AS103">
        <f ca="1">IF(AND(ISNUMBER($AS$241),$B$145=1),$AS$241,HLOOKUP(INDIRECT(ADDRESS(2,COLUMN())),OFFSET($BN$2,0,0,ROW()-1,60),ROW()-1,FALSE))</f>
        <v>0</v>
      </c>
      <c r="AT103">
        <f ca="1">IF(AND(ISNUMBER($AT$241),$B$145=1),$AT$241,HLOOKUP(INDIRECT(ADDRESS(2,COLUMN())),OFFSET($BN$2,0,0,ROW()-1,60),ROW()-1,FALSE))</f>
        <v>0</v>
      </c>
      <c r="AU103">
        <f ca="1">IF(AND(ISNUMBER($AU$241),$B$145=1),$AU$241,HLOOKUP(INDIRECT(ADDRESS(2,COLUMN())),OFFSET($BN$2,0,0,ROW()-1,60),ROW()-1,FALSE))</f>
        <v>0</v>
      </c>
      <c r="AV103">
        <f ca="1">IF(AND(ISNUMBER($AV$241),$B$145=1),$AV$241,HLOOKUP(INDIRECT(ADDRESS(2,COLUMN())),OFFSET($BN$2,0,0,ROW()-1,60),ROW()-1,FALSE))</f>
        <v>0</v>
      </c>
      <c r="AW103">
        <f ca="1">IF(AND(ISNUMBER($AW$241),$B$145=1),$AW$241,HLOOKUP(INDIRECT(ADDRESS(2,COLUMN())),OFFSET($BN$2,0,0,ROW()-1,60),ROW()-1,FALSE))</f>
        <v>0</v>
      </c>
      <c r="AX103">
        <f ca="1">IF(AND(ISNUMBER($AX$241),$B$145=1),$AX$241,HLOOKUP(INDIRECT(ADDRESS(2,COLUMN())),OFFSET($BN$2,0,0,ROW()-1,60),ROW()-1,FALSE))</f>
        <v>0</v>
      </c>
      <c r="AY103">
        <f ca="1">IF(AND(ISNUMBER($AY$241),$B$145=1),$AY$241,HLOOKUP(INDIRECT(ADDRESS(2,COLUMN())),OFFSET($BN$2,0,0,ROW()-1,60),ROW()-1,FALSE))</f>
        <v>0</v>
      </c>
      <c r="AZ103">
        <f ca="1">IF(AND(ISNUMBER($AZ$241),$B$145=1),$AZ$241,HLOOKUP(INDIRECT(ADDRESS(2,COLUMN())),OFFSET($BN$2,0,0,ROW()-1,60),ROW()-1,FALSE))</f>
        <v>0</v>
      </c>
      <c r="BA103">
        <f ca="1">IF(AND(ISNUMBER($BA$241),$B$145=1),$BA$241,HLOOKUP(INDIRECT(ADDRESS(2,COLUMN())),OFFSET($BN$2,0,0,ROW()-1,60),ROW()-1,FALSE))</f>
        <v>0</v>
      </c>
      <c r="BB103">
        <f ca="1">IF(AND(ISNUMBER($BB$241),$B$145=1),$BB$241,HLOOKUP(INDIRECT(ADDRESS(2,COLUMN())),OFFSET($BN$2,0,0,ROW()-1,60),ROW()-1,FALSE))</f>
        <v>0</v>
      </c>
      <c r="BC103">
        <f ca="1">IF(AND(ISNUMBER($BC$241),$B$145=1),$BC$241,HLOOKUP(INDIRECT(ADDRESS(2,COLUMN())),OFFSET($BN$2,0,0,ROW()-1,60),ROW()-1,FALSE))</f>
        <v>0</v>
      </c>
      <c r="BD103">
        <f ca="1">IF(AND(ISNUMBER($BD$241),$B$145=1),$BD$241,HLOOKUP(INDIRECT(ADDRESS(2,COLUMN())),OFFSET($BN$2,0,0,ROW()-1,60),ROW()-1,FALSE))</f>
        <v>0</v>
      </c>
      <c r="BE103">
        <f ca="1">IF(AND(ISNUMBER($BE$241),$B$145=1),$BE$241,HLOOKUP(INDIRECT(ADDRESS(2,COLUMN())),OFFSET($BN$2,0,0,ROW()-1,60),ROW()-1,FALSE))</f>
        <v>0</v>
      </c>
      <c r="BF103">
        <f ca="1">IF(AND(ISNUMBER($BF$241),$B$145=1),$BF$241,HLOOKUP(INDIRECT(ADDRESS(2,COLUMN())),OFFSET($BN$2,0,0,ROW()-1,60),ROW()-1,FALSE))</f>
        <v>0</v>
      </c>
      <c r="BG103">
        <f ca="1">IF(AND(ISNUMBER($BG$241),$B$145=1),$BG$241,HLOOKUP(INDIRECT(ADDRESS(2,COLUMN())),OFFSET($BN$2,0,0,ROW()-1,60),ROW()-1,FALSE))</f>
        <v>0</v>
      </c>
      <c r="BH103">
        <f ca="1">IF(AND(ISNUMBER($BH$241),$B$145=1),$BH$241,HLOOKUP(INDIRECT(ADDRESS(2,COLUMN())),OFFSET($BN$2,0,0,ROW()-1,60),ROW()-1,FALSE))</f>
        <v>0</v>
      </c>
      <c r="BI103">
        <f ca="1">IF(AND(ISNUMBER($BI$241),$B$145=1),$BI$241,HLOOKUP(INDIRECT(ADDRESS(2,COLUMN())),OFFSET($BN$2,0,0,ROW()-1,60),ROW()-1,FALSE))</f>
        <v>0</v>
      </c>
      <c r="BJ103">
        <f ca="1">IF(AND(ISNUMBER($BJ$241),$B$145=1),$BJ$241,HLOOKUP(INDIRECT(ADDRESS(2,COLUMN())),OFFSET($BN$2,0,0,ROW()-1,60),ROW()-1,FALSE))</f>
        <v>0</v>
      </c>
      <c r="BK103">
        <f ca="1">IF(AND(ISNUMBER($BK$241),$B$145=1),$BK$241,HLOOKUP(INDIRECT(ADDRESS(2,COLUMN())),OFFSET($BN$2,0,0,ROW()-1,60),ROW()-1,FALSE))</f>
        <v>0</v>
      </c>
      <c r="BL103">
        <f ca="1">IF(AND(ISNUMBER($BL$241),$B$145=1),$BL$241,HLOOKUP(INDIRECT(ADDRESS(2,COLUMN())),OFFSET($BN$2,0,0,ROW()-1,60),ROW()-1,FALSE))</f>
        <v>0</v>
      </c>
      <c r="BM103">
        <f ca="1">IF(AND(ISNUMBER($BM$241),$B$145=1),$BM$241,HLOOKUP(INDIRECT(ADDRESS(2,COLUMN())),OFFSET($BN$2,0,0,ROW()-1,60),ROW()-1,FALSE))</f>
        <v>0</v>
      </c>
      <c r="BN103" t="str">
        <f>""</f>
        <v/>
      </c>
      <c r="BO103">
        <f>0</f>
        <v>0</v>
      </c>
      <c r="BP103">
        <f>0</f>
        <v>0</v>
      </c>
      <c r="BQ103">
        <f>0</f>
        <v>0</v>
      </c>
      <c r="BR103">
        <f>0</f>
        <v>0</v>
      </c>
      <c r="BS103">
        <f>0</f>
        <v>0</v>
      </c>
      <c r="BT103">
        <f>0</f>
        <v>0</v>
      </c>
      <c r="BU103">
        <f>0</f>
        <v>0</v>
      </c>
      <c r="BV103">
        <f>0</f>
        <v>0</v>
      </c>
      <c r="BW103">
        <f>0</f>
        <v>0</v>
      </c>
      <c r="BX103">
        <f>0</f>
        <v>0</v>
      </c>
      <c r="BY103">
        <f>0</f>
        <v>0</v>
      </c>
      <c r="BZ103">
        <f>0</f>
        <v>0</v>
      </c>
      <c r="CA103">
        <f>0</f>
        <v>0</v>
      </c>
      <c r="CB103">
        <f>0</f>
        <v>0</v>
      </c>
      <c r="CC103">
        <f>0</f>
        <v>0</v>
      </c>
      <c r="CD103">
        <f>0</f>
        <v>0</v>
      </c>
      <c r="CE103">
        <f>0</f>
        <v>0</v>
      </c>
      <c r="CF103">
        <f>0</f>
        <v>0</v>
      </c>
      <c r="CG103">
        <f>0</f>
        <v>0</v>
      </c>
      <c r="CH103">
        <f>0</f>
        <v>0</v>
      </c>
      <c r="CI103">
        <f>0</f>
        <v>0</v>
      </c>
      <c r="CJ103">
        <f>0</f>
        <v>0</v>
      </c>
      <c r="CK103">
        <f>0</f>
        <v>0</v>
      </c>
      <c r="CL103">
        <f>0</f>
        <v>0</v>
      </c>
      <c r="CM103">
        <f>0</f>
        <v>0</v>
      </c>
      <c r="CN103">
        <f>0</f>
        <v>0</v>
      </c>
      <c r="CO103">
        <f>0</f>
        <v>0</v>
      </c>
      <c r="CP103">
        <f>0</f>
        <v>0</v>
      </c>
      <c r="CQ103">
        <f>0</f>
        <v>0</v>
      </c>
      <c r="CR103">
        <f>0</f>
        <v>0</v>
      </c>
      <c r="CS103">
        <f>0</f>
        <v>0</v>
      </c>
      <c r="CT103">
        <f>0</f>
        <v>0</v>
      </c>
      <c r="CU103">
        <f>0</f>
        <v>0</v>
      </c>
      <c r="CV103">
        <f>0</f>
        <v>0</v>
      </c>
      <c r="CW103">
        <f>0</f>
        <v>0</v>
      </c>
      <c r="CX103">
        <f>0</f>
        <v>0</v>
      </c>
      <c r="CY103">
        <f>0</f>
        <v>0</v>
      </c>
      <c r="CZ103">
        <f>0</f>
        <v>0</v>
      </c>
      <c r="DA103">
        <f>0</f>
        <v>0</v>
      </c>
      <c r="DB103">
        <f>0</f>
        <v>0</v>
      </c>
      <c r="DC103">
        <f>0</f>
        <v>0</v>
      </c>
      <c r="DD103">
        <f>0</f>
        <v>0</v>
      </c>
      <c r="DE103">
        <f>0</f>
        <v>0</v>
      </c>
      <c r="DF103">
        <f>0</f>
        <v>0</v>
      </c>
      <c r="DG103">
        <f>0</f>
        <v>0</v>
      </c>
      <c r="DH103">
        <f>0</f>
        <v>0</v>
      </c>
      <c r="DI103">
        <f>0</f>
        <v>0</v>
      </c>
      <c r="DJ103">
        <f>0</f>
        <v>0</v>
      </c>
      <c r="DK103">
        <f>0</f>
        <v>0</v>
      </c>
      <c r="DL103">
        <f>0</f>
        <v>0</v>
      </c>
      <c r="DM103">
        <f>0</f>
        <v>0</v>
      </c>
      <c r="DN103">
        <f>0</f>
        <v>0</v>
      </c>
      <c r="DO103">
        <f>0</f>
        <v>0</v>
      </c>
      <c r="DP103">
        <f>0</f>
        <v>0</v>
      </c>
      <c r="DQ103">
        <f>0</f>
        <v>0</v>
      </c>
      <c r="DR103">
        <f>0</f>
        <v>0</v>
      </c>
      <c r="DS103">
        <f>0</f>
        <v>0</v>
      </c>
      <c r="DT103">
        <f>0</f>
        <v>0</v>
      </c>
      <c r="DU103">
        <f>0</f>
        <v>0</v>
      </c>
    </row>
    <row r="104" spans="1:125" x14ac:dyDescent="0.25">
      <c r="A104" t="str">
        <f>"            Truist Financial Corp"</f>
        <v xml:space="preserve">            Truist Financial Corp</v>
      </c>
      <c r="B104" t="str">
        <f>"TFC US Equity"</f>
        <v>TFC US Equity</v>
      </c>
      <c r="C104" t="str">
        <f t="shared" si="12"/>
        <v>FR531</v>
      </c>
      <c r="D104" t="str">
        <f t="shared" si="13"/>
        <v>FED_INVT_IN_RE_VENTURES</v>
      </c>
      <c r="E104" t="str">
        <f t="shared" si="14"/>
        <v>Dynamic</v>
      </c>
      <c r="F104">
        <f ca="1">IF(AND(ISNUMBER($F$242),$B$145=1),$F$242,HLOOKUP(INDIRECT(ADDRESS(2,COLUMN())),OFFSET($BN$2,0,0,ROW()-1,60),ROW()-1,FALSE))</f>
        <v>82</v>
      </c>
      <c r="G104">
        <f ca="1">IF(AND(ISNUMBER($G$242),$B$145=1),$G$242,HLOOKUP(INDIRECT(ADDRESS(2,COLUMN())),OFFSET($BN$2,0,0,ROW()-1,60),ROW()-1,FALSE))</f>
        <v>58</v>
      </c>
      <c r="H104">
        <f ca="1">IF(AND(ISNUMBER($H$242),$B$145=1),$H$242,HLOOKUP(INDIRECT(ADDRESS(2,COLUMN())),OFFSET($BN$2,0,0,ROW()-1,60),ROW()-1,FALSE))</f>
        <v>59</v>
      </c>
      <c r="I104">
        <f ca="1">IF(AND(ISNUMBER($I$242),$B$145=1),$I$242,HLOOKUP(INDIRECT(ADDRESS(2,COLUMN())),OFFSET($BN$2,0,0,ROW()-1,60),ROW()-1,FALSE))</f>
        <v>57</v>
      </c>
      <c r="J104">
        <f ca="1">IF(AND(ISNUMBER($J$242),$B$145=1),$J$242,HLOOKUP(INDIRECT(ADDRESS(2,COLUMN())),OFFSET($BN$2,0,0,ROW()-1,60),ROW()-1,FALSE))</f>
        <v>49</v>
      </c>
      <c r="K104">
        <f ca="1">IF(AND(ISNUMBER($K$242),$B$145=1),$K$242,HLOOKUP(INDIRECT(ADDRESS(2,COLUMN())),OFFSET($BN$2,0,0,ROW()-1,60),ROW()-1,FALSE))</f>
        <v>48</v>
      </c>
      <c r="L104">
        <f ca="1">IF(AND(ISNUMBER($L$242),$B$145=1),$L$242,HLOOKUP(INDIRECT(ADDRESS(2,COLUMN())),OFFSET($BN$2,0,0,ROW()-1,60),ROW()-1,FALSE))</f>
        <v>46</v>
      </c>
      <c r="M104">
        <f ca="1">IF(AND(ISNUMBER($M$242),$B$145=1),$M$242,HLOOKUP(INDIRECT(ADDRESS(2,COLUMN())),OFFSET($BN$2,0,0,ROW()-1,60),ROW()-1,FALSE))</f>
        <v>44</v>
      </c>
      <c r="N104">
        <f ca="1">IF(AND(ISNUMBER($N$242),$B$145=1),$N$242,HLOOKUP(INDIRECT(ADDRESS(2,COLUMN())),OFFSET($BN$2,0,0,ROW()-1,60),ROW()-1,FALSE))</f>
        <v>14</v>
      </c>
      <c r="O104">
        <f ca="1">IF(AND(ISNUMBER($O$242),$B$145=1),$O$242,HLOOKUP(INDIRECT(ADDRESS(2,COLUMN())),OFFSET($BN$2,0,0,ROW()-1,60),ROW()-1,FALSE))</f>
        <v>13</v>
      </c>
      <c r="P104">
        <f ca="1">IF(AND(ISNUMBER($P$242),$B$145=1),$P$242,HLOOKUP(INDIRECT(ADDRESS(2,COLUMN())),OFFSET($BN$2,0,0,ROW()-1,60),ROW()-1,FALSE))</f>
        <v>14</v>
      </c>
      <c r="Q104">
        <f ca="1">IF(AND(ISNUMBER($Q$242),$B$145=1),$Q$242,HLOOKUP(INDIRECT(ADDRESS(2,COLUMN())),OFFSET($BN$2,0,0,ROW()-1,60),ROW()-1,FALSE))</f>
        <v>12</v>
      </c>
      <c r="R104">
        <f ca="1">IF(AND(ISNUMBER($R$242),$B$145=1),$R$242,HLOOKUP(INDIRECT(ADDRESS(2,COLUMN())),OFFSET($BN$2,0,0,ROW()-1,60),ROW()-1,FALSE))</f>
        <v>9</v>
      </c>
      <c r="S104">
        <f ca="1">IF(AND(ISNUMBER($S$242),$B$145=1),$S$242,HLOOKUP(INDIRECT(ADDRESS(2,COLUMN())),OFFSET($BN$2,0,0,ROW()-1,60),ROW()-1,FALSE))</f>
        <v>6</v>
      </c>
      <c r="T104">
        <f ca="1">IF(AND(ISNUMBER($T$242),$B$145=1),$T$242,HLOOKUP(INDIRECT(ADDRESS(2,COLUMN())),OFFSET($BN$2,0,0,ROW()-1,60),ROW()-1,FALSE))</f>
        <v>8</v>
      </c>
      <c r="U104">
        <f ca="1">IF(AND(ISNUMBER($U$242),$B$145=1),$U$242,HLOOKUP(INDIRECT(ADDRESS(2,COLUMN())),OFFSET($BN$2,0,0,ROW()-1,60),ROW()-1,FALSE))</f>
        <v>4</v>
      </c>
      <c r="V104">
        <f ca="1">IF(AND(ISNUMBER($V$242),$B$145=1),$V$242,HLOOKUP(INDIRECT(ADDRESS(2,COLUMN())),OFFSET($BN$2,0,0,ROW()-1,60),ROW()-1,FALSE))</f>
        <v>5</v>
      </c>
      <c r="W104">
        <f ca="1">IF(AND(ISNUMBER($W$242),$B$145=1),$W$242,HLOOKUP(INDIRECT(ADDRESS(2,COLUMN())),OFFSET($BN$2,0,0,ROW()-1,60),ROW()-1,FALSE))</f>
        <v>5</v>
      </c>
      <c r="X104">
        <f ca="1">IF(AND(ISNUMBER($X$242),$B$145=1),$X$242,HLOOKUP(INDIRECT(ADDRESS(2,COLUMN())),OFFSET($BN$2,0,0,ROW()-1,60),ROW()-1,FALSE))</f>
        <v>5</v>
      </c>
      <c r="Y104">
        <f ca="1">IF(AND(ISNUMBER($Y$242),$B$145=1),$Y$242,HLOOKUP(INDIRECT(ADDRESS(2,COLUMN())),OFFSET($BN$2,0,0,ROW()-1,60),ROW()-1,FALSE))</f>
        <v>5</v>
      </c>
      <c r="Z104">
        <f ca="1">IF(AND(ISNUMBER($Z$242),$B$145=1),$Z$242,HLOOKUP(INDIRECT(ADDRESS(2,COLUMN())),OFFSET($BN$2,0,0,ROW()-1,60),ROW()-1,FALSE))</f>
        <v>5</v>
      </c>
      <c r="AA104">
        <f ca="1">IF(AND(ISNUMBER($AA$242),$B$145=1),$AA$242,HLOOKUP(INDIRECT(ADDRESS(2,COLUMN())),OFFSET($BN$2,0,0,ROW()-1,60),ROW()-1,FALSE))</f>
        <v>7</v>
      </c>
      <c r="AB104">
        <f ca="1">IF(AND(ISNUMBER($AB$242),$B$145=1),$AB$242,HLOOKUP(INDIRECT(ADDRESS(2,COLUMN())),OFFSET($BN$2,0,0,ROW()-1,60),ROW()-1,FALSE))</f>
        <v>7</v>
      </c>
      <c r="AC104">
        <f ca="1">IF(AND(ISNUMBER($AC$242),$B$145=1),$AC$242,HLOOKUP(INDIRECT(ADDRESS(2,COLUMN())),OFFSET($BN$2,0,0,ROW()-1,60),ROW()-1,FALSE))</f>
        <v>7</v>
      </c>
      <c r="AD104">
        <f ca="1">IF(AND(ISNUMBER($AD$242),$B$145=1),$AD$242,HLOOKUP(INDIRECT(ADDRESS(2,COLUMN())),OFFSET($BN$2,0,0,ROW()-1,60),ROW()-1,FALSE))</f>
        <v>7</v>
      </c>
      <c r="AE104">
        <f ca="1">IF(AND(ISNUMBER($AE$242),$B$145=1),$AE$242,HLOOKUP(INDIRECT(ADDRESS(2,COLUMN())),OFFSET($BN$2,0,0,ROW()-1,60),ROW()-1,FALSE))</f>
        <v>8</v>
      </c>
      <c r="AF104">
        <f ca="1">IF(AND(ISNUMBER($AF$242),$B$145=1),$AF$242,HLOOKUP(INDIRECT(ADDRESS(2,COLUMN())),OFFSET($BN$2,0,0,ROW()-1,60),ROW()-1,FALSE))</f>
        <v>7</v>
      </c>
      <c r="AG104">
        <f ca="1">IF(AND(ISNUMBER($AG$242),$B$145=1),$AG$242,HLOOKUP(INDIRECT(ADDRESS(2,COLUMN())),OFFSET($BN$2,0,0,ROW()-1,60),ROW()-1,FALSE))</f>
        <v>8</v>
      </c>
      <c r="AH104">
        <f ca="1">IF(AND(ISNUMBER($AH$242),$B$145=1),$AH$242,HLOOKUP(INDIRECT(ADDRESS(2,COLUMN())),OFFSET($BN$2,0,0,ROW()-1,60),ROW()-1,FALSE))</f>
        <v>8</v>
      </c>
      <c r="AI104">
        <f ca="1">IF(AND(ISNUMBER($AI$242),$B$145=1),$AI$242,HLOOKUP(INDIRECT(ADDRESS(2,COLUMN())),OFFSET($BN$2,0,0,ROW()-1,60),ROW()-1,FALSE))</f>
        <v>8</v>
      </c>
      <c r="AJ104">
        <f ca="1">IF(AND(ISNUMBER($AJ$242),$B$145=1),$AJ$242,HLOOKUP(INDIRECT(ADDRESS(2,COLUMN())),OFFSET($BN$2,0,0,ROW()-1,60),ROW()-1,FALSE))</f>
        <v>8</v>
      </c>
      <c r="AK104">
        <f ca="1">IF(AND(ISNUMBER($AK$242),$B$145=1),$AK$242,HLOOKUP(INDIRECT(ADDRESS(2,COLUMN())),OFFSET($BN$2,0,0,ROW()-1,60),ROW()-1,FALSE))</f>
        <v>8.02</v>
      </c>
      <c r="AL104">
        <f ca="1">IF(AND(ISNUMBER($AL$242),$B$145=1),$AL$242,HLOOKUP(INDIRECT(ADDRESS(2,COLUMN())),OFFSET($BN$2,0,0,ROW()-1,60),ROW()-1,FALSE))</f>
        <v>6.024</v>
      </c>
      <c r="AM104">
        <f ca="1">IF(AND(ISNUMBER($AM$242),$B$145=1),$AM$242,HLOOKUP(INDIRECT(ADDRESS(2,COLUMN())),OFFSET($BN$2,0,0,ROW()-1,60),ROW()-1,FALSE))</f>
        <v>5.5410000000000004</v>
      </c>
      <c r="AN104">
        <f ca="1">IF(AND(ISNUMBER($AN$242),$B$145=1),$AN$242,HLOOKUP(INDIRECT(ADDRESS(2,COLUMN())),OFFSET($BN$2,0,0,ROW()-1,60),ROW()-1,FALSE))</f>
        <v>5.8310000000000004</v>
      </c>
      <c r="AO104">
        <f ca="1">IF(AND(ISNUMBER($AO$242),$B$145=1),$AO$242,HLOOKUP(INDIRECT(ADDRESS(2,COLUMN())),OFFSET($BN$2,0,0,ROW()-1,60),ROW()-1,FALSE))</f>
        <v>6.1120000000000001</v>
      </c>
      <c r="AP104">
        <f ca="1">IF(AND(ISNUMBER($AP$242),$B$145=1),$AP$242,HLOOKUP(INDIRECT(ADDRESS(2,COLUMN())),OFFSET($BN$2,0,0,ROW()-1,60),ROW()-1,FALSE))</f>
        <v>6.1959999999999997</v>
      </c>
      <c r="AQ104">
        <f ca="1">IF(AND(ISNUMBER($AQ$242),$B$145=1),$AQ$242,HLOOKUP(INDIRECT(ADDRESS(2,COLUMN())),OFFSET($BN$2,0,0,ROW()-1,60),ROW()-1,FALSE))</f>
        <v>6.2560000000000002</v>
      </c>
      <c r="AR104">
        <f ca="1">IF(AND(ISNUMBER($AR$242),$B$145=1),$AR$242,HLOOKUP(INDIRECT(ADDRESS(2,COLUMN())),OFFSET($BN$2,0,0,ROW()-1,60),ROW()-1,FALSE))</f>
        <v>6.25</v>
      </c>
      <c r="AS104">
        <f ca="1">IF(AND(ISNUMBER($AS$242),$B$145=1),$AS$242,HLOOKUP(INDIRECT(ADDRESS(2,COLUMN())),OFFSET($BN$2,0,0,ROW()-1,60),ROW()-1,FALSE))</f>
        <v>3.88</v>
      </c>
      <c r="AT104">
        <f ca="1">IF(AND(ISNUMBER($AT$242),$B$145=1),$AT$242,HLOOKUP(INDIRECT(ADDRESS(2,COLUMN())),OFFSET($BN$2,0,0,ROW()-1,60),ROW()-1,FALSE))</f>
        <v>3.831</v>
      </c>
      <c r="AU104">
        <f ca="1">IF(AND(ISNUMBER($AU$242),$B$145=1),$AU$242,HLOOKUP(INDIRECT(ADDRESS(2,COLUMN())),OFFSET($BN$2,0,0,ROW()-1,60),ROW()-1,FALSE))</f>
        <v>2.6920000000000002</v>
      </c>
      <c r="AV104">
        <f ca="1">IF(AND(ISNUMBER($AV$242),$B$145=1),$AV$242,HLOOKUP(INDIRECT(ADDRESS(2,COLUMN())),OFFSET($BN$2,0,0,ROW()-1,60),ROW()-1,FALSE))</f>
        <v>3.234</v>
      </c>
      <c r="AW104">
        <f ca="1">IF(AND(ISNUMBER($AW$242),$B$145=1),$AW$242,HLOOKUP(INDIRECT(ADDRESS(2,COLUMN())),OFFSET($BN$2,0,0,ROW()-1,60),ROW()-1,FALSE))</f>
        <v>3.238</v>
      </c>
      <c r="AX104">
        <f ca="1">IF(AND(ISNUMBER($AX$242),$B$145=1),$AX$242,HLOOKUP(INDIRECT(ADDRESS(2,COLUMN())),OFFSET($BN$2,0,0,ROW()-1,60),ROW()-1,FALSE))</f>
        <v>4.0830000000000002</v>
      </c>
      <c r="AY104">
        <f ca="1">IF(AND(ISNUMBER($AY$242),$B$145=1),$AY$242,HLOOKUP(INDIRECT(ADDRESS(2,COLUMN())),OFFSET($BN$2,0,0,ROW()-1,60),ROW()-1,FALSE))</f>
        <v>2.2090000000000001</v>
      </c>
      <c r="AZ104">
        <f ca="1">IF(AND(ISNUMBER($AZ$242),$B$145=1),$AZ$242,HLOOKUP(INDIRECT(ADDRESS(2,COLUMN())),OFFSET($BN$2,0,0,ROW()-1,60),ROW()-1,FALSE))</f>
        <v>2.1110000000000002</v>
      </c>
      <c r="BA104">
        <f ca="1">IF(AND(ISNUMBER($BA$242),$B$145=1),$BA$242,HLOOKUP(INDIRECT(ADDRESS(2,COLUMN())),OFFSET($BN$2,0,0,ROW()-1,60),ROW()-1,FALSE))</f>
        <v>2.1960000000000002</v>
      </c>
      <c r="BB104">
        <f ca="1">IF(AND(ISNUMBER($BB$242),$B$145=1),$BB$242,HLOOKUP(INDIRECT(ADDRESS(2,COLUMN())),OFFSET($BN$2,0,0,ROW()-1,60),ROW()-1,FALSE))</f>
        <v>2.5289999999999999</v>
      </c>
      <c r="BC104">
        <f ca="1">IF(AND(ISNUMBER($BC$242),$B$145=1),$BC$242,HLOOKUP(INDIRECT(ADDRESS(2,COLUMN())),OFFSET($BN$2,0,0,ROW()-1,60),ROW()-1,FALSE))</f>
        <v>1.9139999999999999</v>
      </c>
      <c r="BD104">
        <f ca="1">IF(AND(ISNUMBER($BD$242),$B$145=1),$BD$242,HLOOKUP(INDIRECT(ADDRESS(2,COLUMN())),OFFSET($BN$2,0,0,ROW()-1,60),ROW()-1,FALSE))</f>
        <v>1.9359999999999999</v>
      </c>
      <c r="BE104">
        <f ca="1">IF(AND(ISNUMBER($BE$242),$B$145=1),$BE$242,HLOOKUP(INDIRECT(ADDRESS(2,COLUMN())),OFFSET($BN$2,0,0,ROW()-1,60),ROW()-1,FALSE))</f>
        <v>2.0379999999999998</v>
      </c>
      <c r="BF104">
        <f ca="1">IF(AND(ISNUMBER($BF$242),$B$145=1),$BF$242,HLOOKUP(INDIRECT(ADDRESS(2,COLUMN())),OFFSET($BN$2,0,0,ROW()-1,60),ROW()-1,FALSE))</f>
        <v>2.0379999999999998</v>
      </c>
      <c r="BG104">
        <f ca="1">IF(AND(ISNUMBER($BG$242),$B$145=1),$BG$242,HLOOKUP(INDIRECT(ADDRESS(2,COLUMN())),OFFSET($BN$2,0,0,ROW()-1,60),ROW()-1,FALSE))</f>
        <v>2.0379999999999998</v>
      </c>
      <c r="BH104">
        <f ca="1">IF(AND(ISNUMBER($BH$242),$B$145=1),$BH$242,HLOOKUP(INDIRECT(ADDRESS(2,COLUMN())),OFFSET($BN$2,0,0,ROW()-1,60),ROW()-1,FALSE))</f>
        <v>2.3210000000000002</v>
      </c>
      <c r="BI104">
        <f ca="1">IF(AND(ISNUMBER($BI$242),$B$145=1),$BI$242,HLOOKUP(INDIRECT(ADDRESS(2,COLUMN())),OFFSET($BN$2,0,0,ROW()-1,60),ROW()-1,FALSE))</f>
        <v>2.3210000000000002</v>
      </c>
      <c r="BJ104">
        <f ca="1">IF(AND(ISNUMBER($BJ$242),$B$145=1),$BJ$242,HLOOKUP(INDIRECT(ADDRESS(2,COLUMN())),OFFSET($BN$2,0,0,ROW()-1,60),ROW()-1,FALSE))</f>
        <v>0</v>
      </c>
      <c r="BK104">
        <f ca="1">IF(AND(ISNUMBER($BK$242),$B$145=1),$BK$242,HLOOKUP(INDIRECT(ADDRESS(2,COLUMN())),OFFSET($BN$2,0,0,ROW()-1,60),ROW()-1,FALSE))</f>
        <v>0</v>
      </c>
      <c r="BL104">
        <f ca="1">IF(AND(ISNUMBER($BL$242),$B$145=1),$BL$242,HLOOKUP(INDIRECT(ADDRESS(2,COLUMN())),OFFSET($BN$2,0,0,ROW()-1,60),ROW()-1,FALSE))</f>
        <v>0</v>
      </c>
      <c r="BM104" t="str">
        <f ca="1">IF(AND(ISNUMBER($BM$242),$B$145=1),$BM$242,HLOOKUP(INDIRECT(ADDRESS(2,COLUMN())),OFFSET($BN$2,0,0,ROW()-1,60),ROW()-1,FALSE))</f>
        <v/>
      </c>
      <c r="BN104">
        <f>82</f>
        <v>82</v>
      </c>
      <c r="BO104">
        <f>58</f>
        <v>58</v>
      </c>
      <c r="BP104">
        <f>59</f>
        <v>59</v>
      </c>
      <c r="BQ104">
        <f>57</f>
        <v>57</v>
      </c>
      <c r="BR104">
        <f>49</f>
        <v>49</v>
      </c>
      <c r="BS104">
        <f>48</f>
        <v>48</v>
      </c>
      <c r="BT104">
        <f>46</f>
        <v>46</v>
      </c>
      <c r="BU104">
        <f>44</f>
        <v>44</v>
      </c>
      <c r="BV104">
        <f>14</f>
        <v>14</v>
      </c>
      <c r="BW104">
        <f>13</f>
        <v>13</v>
      </c>
      <c r="BX104">
        <f>14</f>
        <v>14</v>
      </c>
      <c r="BY104">
        <f>12</f>
        <v>12</v>
      </c>
      <c r="BZ104">
        <f>9</f>
        <v>9</v>
      </c>
      <c r="CA104">
        <f>6</f>
        <v>6</v>
      </c>
      <c r="CB104">
        <f>8</f>
        <v>8</v>
      </c>
      <c r="CC104">
        <f>4</f>
        <v>4</v>
      </c>
      <c r="CD104">
        <f>5</f>
        <v>5</v>
      </c>
      <c r="CE104">
        <f>5</f>
        <v>5</v>
      </c>
      <c r="CF104">
        <f>5</f>
        <v>5</v>
      </c>
      <c r="CG104">
        <f>5</f>
        <v>5</v>
      </c>
      <c r="CH104">
        <f>5</f>
        <v>5</v>
      </c>
      <c r="CI104">
        <f>7</f>
        <v>7</v>
      </c>
      <c r="CJ104">
        <f>7</f>
        <v>7</v>
      </c>
      <c r="CK104">
        <f>7</f>
        <v>7</v>
      </c>
      <c r="CL104">
        <f>7</f>
        <v>7</v>
      </c>
      <c r="CM104">
        <f>8</f>
        <v>8</v>
      </c>
      <c r="CN104">
        <f>7</f>
        <v>7</v>
      </c>
      <c r="CO104">
        <f>8</f>
        <v>8</v>
      </c>
      <c r="CP104">
        <f>8</f>
        <v>8</v>
      </c>
      <c r="CQ104">
        <f>8</f>
        <v>8</v>
      </c>
      <c r="CR104">
        <f>8</f>
        <v>8</v>
      </c>
      <c r="CS104">
        <f>8.02</f>
        <v>8.02</v>
      </c>
      <c r="CT104">
        <f>6.024</f>
        <v>6.024</v>
      </c>
      <c r="CU104">
        <f>5.541</f>
        <v>5.5410000000000004</v>
      </c>
      <c r="CV104">
        <f>5.831</f>
        <v>5.8310000000000004</v>
      </c>
      <c r="CW104">
        <f>6.112</f>
        <v>6.1120000000000001</v>
      </c>
      <c r="CX104">
        <f>6.196</f>
        <v>6.1959999999999997</v>
      </c>
      <c r="CY104">
        <f>6.256</f>
        <v>6.2560000000000002</v>
      </c>
      <c r="CZ104">
        <f>6.25</f>
        <v>6.25</v>
      </c>
      <c r="DA104">
        <f>3.88</f>
        <v>3.88</v>
      </c>
      <c r="DB104">
        <f>3.831</f>
        <v>3.831</v>
      </c>
      <c r="DC104">
        <f>2.692</f>
        <v>2.6920000000000002</v>
      </c>
      <c r="DD104">
        <f>3.234</f>
        <v>3.234</v>
      </c>
      <c r="DE104">
        <f>3.238</f>
        <v>3.238</v>
      </c>
      <c r="DF104">
        <f>4.083</f>
        <v>4.0830000000000002</v>
      </c>
      <c r="DG104">
        <f>2.209</f>
        <v>2.2090000000000001</v>
      </c>
      <c r="DH104">
        <f>2.111</f>
        <v>2.1110000000000002</v>
      </c>
      <c r="DI104">
        <f>2.196</f>
        <v>2.1960000000000002</v>
      </c>
      <c r="DJ104">
        <f>2.529</f>
        <v>2.5289999999999999</v>
      </c>
      <c r="DK104">
        <f>1.914</f>
        <v>1.9139999999999999</v>
      </c>
      <c r="DL104">
        <f>1.936</f>
        <v>1.9359999999999999</v>
      </c>
      <c r="DM104">
        <f>2.038</f>
        <v>2.0379999999999998</v>
      </c>
      <c r="DN104">
        <f>2.038</f>
        <v>2.0379999999999998</v>
      </c>
      <c r="DO104">
        <f>2.038</f>
        <v>2.0379999999999998</v>
      </c>
      <c r="DP104">
        <f>2.321</f>
        <v>2.3210000000000002</v>
      </c>
      <c r="DQ104">
        <f>2.321</f>
        <v>2.3210000000000002</v>
      </c>
      <c r="DR104">
        <f>0</f>
        <v>0</v>
      </c>
      <c r="DS104">
        <f>0</f>
        <v>0</v>
      </c>
      <c r="DT104">
        <f>0</f>
        <v>0</v>
      </c>
      <c r="DU104" t="str">
        <f>""</f>
        <v/>
      </c>
    </row>
    <row r="105" spans="1:125" x14ac:dyDescent="0.25">
      <c r="A105" t="str">
        <f>"            US Bancorp"</f>
        <v xml:space="preserve">            US Bancorp</v>
      </c>
      <c r="B105" t="str">
        <f>"USB US Equity"</f>
        <v>USB US Equity</v>
      </c>
      <c r="C105" t="str">
        <f t="shared" si="12"/>
        <v>FR531</v>
      </c>
      <c r="D105" t="str">
        <f t="shared" si="13"/>
        <v>FED_INVT_IN_RE_VENTURES</v>
      </c>
      <c r="E105" t="str">
        <f t="shared" si="14"/>
        <v>Dynamic</v>
      </c>
      <c r="F105">
        <f ca="1">IF(AND(ISNUMBER($F$243),$B$145=1),$F$243,HLOOKUP(INDIRECT(ADDRESS(2,COLUMN())),OFFSET($BN$2,0,0,ROW()-1,60),ROW()-1,FALSE))</f>
        <v>0</v>
      </c>
      <c r="G105">
        <f ca="1">IF(AND(ISNUMBER($G$243),$B$145=1),$G$243,HLOOKUP(INDIRECT(ADDRESS(2,COLUMN())),OFFSET($BN$2,0,0,ROW()-1,60),ROW()-1,FALSE))</f>
        <v>0</v>
      </c>
      <c r="H105">
        <f ca="1">IF(AND(ISNUMBER($H$243),$B$145=1),$H$243,HLOOKUP(INDIRECT(ADDRESS(2,COLUMN())),OFFSET($BN$2,0,0,ROW()-1,60),ROW()-1,FALSE))</f>
        <v>0</v>
      </c>
      <c r="I105">
        <f ca="1">IF(AND(ISNUMBER($I$243),$B$145=1),$I$243,HLOOKUP(INDIRECT(ADDRESS(2,COLUMN())),OFFSET($BN$2,0,0,ROW()-1,60),ROW()-1,FALSE))</f>
        <v>0</v>
      </c>
      <c r="J105">
        <f ca="1">IF(AND(ISNUMBER($J$243),$B$145=1),$J$243,HLOOKUP(INDIRECT(ADDRESS(2,COLUMN())),OFFSET($BN$2,0,0,ROW()-1,60),ROW()-1,FALSE))</f>
        <v>0</v>
      </c>
      <c r="K105">
        <f ca="1">IF(AND(ISNUMBER($K$243),$B$145=1),$K$243,HLOOKUP(INDIRECT(ADDRESS(2,COLUMN())),OFFSET($BN$2,0,0,ROW()-1,60),ROW()-1,FALSE))</f>
        <v>0</v>
      </c>
      <c r="L105">
        <f ca="1">IF(AND(ISNUMBER($L$243),$B$145=1),$L$243,HLOOKUP(INDIRECT(ADDRESS(2,COLUMN())),OFFSET($BN$2,0,0,ROW()-1,60),ROW()-1,FALSE))</f>
        <v>0</v>
      </c>
      <c r="M105">
        <f ca="1">IF(AND(ISNUMBER($M$243),$B$145=1),$M$243,HLOOKUP(INDIRECT(ADDRESS(2,COLUMN())),OFFSET($BN$2,0,0,ROW()-1,60),ROW()-1,FALSE))</f>
        <v>0</v>
      </c>
      <c r="N105">
        <f ca="1">IF(AND(ISNUMBER($N$243),$B$145=1),$N$243,HLOOKUP(INDIRECT(ADDRESS(2,COLUMN())),OFFSET($BN$2,0,0,ROW()-1,60),ROW()-1,FALSE))</f>
        <v>0</v>
      </c>
      <c r="O105">
        <f ca="1">IF(AND(ISNUMBER($O$243),$B$145=1),$O$243,HLOOKUP(INDIRECT(ADDRESS(2,COLUMN())),OFFSET($BN$2,0,0,ROW()-1,60),ROW()-1,FALSE))</f>
        <v>0</v>
      </c>
      <c r="P105">
        <f ca="1">IF(AND(ISNUMBER($P$243),$B$145=1),$P$243,HLOOKUP(INDIRECT(ADDRESS(2,COLUMN())),OFFSET($BN$2,0,0,ROW()-1,60),ROW()-1,FALSE))</f>
        <v>0</v>
      </c>
      <c r="Q105">
        <f ca="1">IF(AND(ISNUMBER($Q$243),$B$145=1),$Q$243,HLOOKUP(INDIRECT(ADDRESS(2,COLUMN())),OFFSET($BN$2,0,0,ROW()-1,60),ROW()-1,FALSE))</f>
        <v>0</v>
      </c>
      <c r="R105">
        <f ca="1">IF(AND(ISNUMBER($R$243),$B$145=1),$R$243,HLOOKUP(INDIRECT(ADDRESS(2,COLUMN())),OFFSET($BN$2,0,0,ROW()-1,60),ROW()-1,FALSE))</f>
        <v>0</v>
      </c>
      <c r="S105">
        <f ca="1">IF(AND(ISNUMBER($S$243),$B$145=1),$S$243,HLOOKUP(INDIRECT(ADDRESS(2,COLUMN())),OFFSET($BN$2,0,0,ROW()-1,60),ROW()-1,FALSE))</f>
        <v>0</v>
      </c>
      <c r="T105">
        <f ca="1">IF(AND(ISNUMBER($T$243),$B$145=1),$T$243,HLOOKUP(INDIRECT(ADDRESS(2,COLUMN())),OFFSET($BN$2,0,0,ROW()-1,60),ROW()-1,FALSE))</f>
        <v>0</v>
      </c>
      <c r="U105">
        <f ca="1">IF(AND(ISNUMBER($U$243),$B$145=1),$U$243,HLOOKUP(INDIRECT(ADDRESS(2,COLUMN())),OFFSET($BN$2,0,0,ROW()-1,60),ROW()-1,FALSE))</f>
        <v>0</v>
      </c>
      <c r="V105">
        <f ca="1">IF(AND(ISNUMBER($V$243),$B$145=1),$V$243,HLOOKUP(INDIRECT(ADDRESS(2,COLUMN())),OFFSET($BN$2,0,0,ROW()-1,60),ROW()-1,FALSE))</f>
        <v>0</v>
      </c>
      <c r="W105">
        <f ca="1">IF(AND(ISNUMBER($W$243),$B$145=1),$W$243,HLOOKUP(INDIRECT(ADDRESS(2,COLUMN())),OFFSET($BN$2,0,0,ROW()-1,60),ROW()-1,FALSE))</f>
        <v>0</v>
      </c>
      <c r="X105">
        <f ca="1">IF(AND(ISNUMBER($X$243),$B$145=1),$X$243,HLOOKUP(INDIRECT(ADDRESS(2,COLUMN())),OFFSET($BN$2,0,0,ROW()-1,60),ROW()-1,FALSE))</f>
        <v>0</v>
      </c>
      <c r="Y105">
        <f ca="1">IF(AND(ISNUMBER($Y$243),$B$145=1),$Y$243,HLOOKUP(INDIRECT(ADDRESS(2,COLUMN())),OFFSET($BN$2,0,0,ROW()-1,60),ROW()-1,FALSE))</f>
        <v>0</v>
      </c>
      <c r="Z105">
        <f ca="1">IF(AND(ISNUMBER($Z$243),$B$145=1),$Z$243,HLOOKUP(INDIRECT(ADDRESS(2,COLUMN())),OFFSET($BN$2,0,0,ROW()-1,60),ROW()-1,FALSE))</f>
        <v>0</v>
      </c>
      <c r="AA105">
        <f ca="1">IF(AND(ISNUMBER($AA$243),$B$145=1),$AA$243,HLOOKUP(INDIRECT(ADDRESS(2,COLUMN())),OFFSET($BN$2,0,0,ROW()-1,60),ROW()-1,FALSE))</f>
        <v>0</v>
      </c>
      <c r="AB105">
        <f ca="1">IF(AND(ISNUMBER($AB$243),$B$145=1),$AB$243,HLOOKUP(INDIRECT(ADDRESS(2,COLUMN())),OFFSET($BN$2,0,0,ROW()-1,60),ROW()-1,FALSE))</f>
        <v>0</v>
      </c>
      <c r="AC105">
        <f ca="1">IF(AND(ISNUMBER($AC$243),$B$145=1),$AC$243,HLOOKUP(INDIRECT(ADDRESS(2,COLUMN())),OFFSET($BN$2,0,0,ROW()-1,60),ROW()-1,FALSE))</f>
        <v>0</v>
      </c>
      <c r="AD105">
        <f ca="1">IF(AND(ISNUMBER($AD$243),$B$145=1),$AD$243,HLOOKUP(INDIRECT(ADDRESS(2,COLUMN())),OFFSET($BN$2,0,0,ROW()-1,60),ROW()-1,FALSE))</f>
        <v>0</v>
      </c>
      <c r="AE105">
        <f ca="1">IF(AND(ISNUMBER($AE$243),$B$145=1),$AE$243,HLOOKUP(INDIRECT(ADDRESS(2,COLUMN())),OFFSET($BN$2,0,0,ROW()-1,60),ROW()-1,FALSE))</f>
        <v>0</v>
      </c>
      <c r="AF105">
        <f ca="1">IF(AND(ISNUMBER($AF$243),$B$145=1),$AF$243,HLOOKUP(INDIRECT(ADDRESS(2,COLUMN())),OFFSET($BN$2,0,0,ROW()-1,60),ROW()-1,FALSE))</f>
        <v>0</v>
      </c>
      <c r="AG105">
        <f ca="1">IF(AND(ISNUMBER($AG$243),$B$145=1),$AG$243,HLOOKUP(INDIRECT(ADDRESS(2,COLUMN())),OFFSET($BN$2,0,0,ROW()-1,60),ROW()-1,FALSE))</f>
        <v>0</v>
      </c>
      <c r="AH105">
        <f ca="1">IF(AND(ISNUMBER($AH$243),$B$145=1),$AH$243,HLOOKUP(INDIRECT(ADDRESS(2,COLUMN())),OFFSET($BN$2,0,0,ROW()-1,60),ROW()-1,FALSE))</f>
        <v>0</v>
      </c>
      <c r="AI105">
        <f ca="1">IF(AND(ISNUMBER($AI$243),$B$145=1),$AI$243,HLOOKUP(INDIRECT(ADDRESS(2,COLUMN())),OFFSET($BN$2,0,0,ROW()-1,60),ROW()-1,FALSE))</f>
        <v>0</v>
      </c>
      <c r="AJ105">
        <f ca="1">IF(AND(ISNUMBER($AJ$243),$B$145=1),$AJ$243,HLOOKUP(INDIRECT(ADDRESS(2,COLUMN())),OFFSET($BN$2,0,0,ROW()-1,60),ROW()-1,FALSE))</f>
        <v>0</v>
      </c>
      <c r="AK105">
        <f ca="1">IF(AND(ISNUMBER($AK$243),$B$145=1),$AK$243,HLOOKUP(INDIRECT(ADDRESS(2,COLUMN())),OFFSET($BN$2,0,0,ROW()-1,60),ROW()-1,FALSE))</f>
        <v>0</v>
      </c>
      <c r="AL105">
        <f ca="1">IF(AND(ISNUMBER($AL$243),$B$145=1),$AL$243,HLOOKUP(INDIRECT(ADDRESS(2,COLUMN())),OFFSET($BN$2,0,0,ROW()-1,60),ROW()-1,FALSE))</f>
        <v>0</v>
      </c>
      <c r="AM105">
        <f ca="1">IF(AND(ISNUMBER($AM$243),$B$145=1),$AM$243,HLOOKUP(INDIRECT(ADDRESS(2,COLUMN())),OFFSET($BN$2,0,0,ROW()-1,60),ROW()-1,FALSE))</f>
        <v>0</v>
      </c>
      <c r="AN105">
        <f ca="1">IF(AND(ISNUMBER($AN$243),$B$145=1),$AN$243,HLOOKUP(INDIRECT(ADDRESS(2,COLUMN())),OFFSET($BN$2,0,0,ROW()-1,60),ROW()-1,FALSE))</f>
        <v>0</v>
      </c>
      <c r="AO105">
        <f ca="1">IF(AND(ISNUMBER($AO$243),$B$145=1),$AO$243,HLOOKUP(INDIRECT(ADDRESS(2,COLUMN())),OFFSET($BN$2,0,0,ROW()-1,60),ROW()-1,FALSE))</f>
        <v>0</v>
      </c>
      <c r="AP105">
        <f ca="1">IF(AND(ISNUMBER($AP$243),$B$145=1),$AP$243,HLOOKUP(INDIRECT(ADDRESS(2,COLUMN())),OFFSET($BN$2,0,0,ROW()-1,60),ROW()-1,FALSE))</f>
        <v>0</v>
      </c>
      <c r="AQ105">
        <f ca="1">IF(AND(ISNUMBER($AQ$243),$B$145=1),$AQ$243,HLOOKUP(INDIRECT(ADDRESS(2,COLUMN())),OFFSET($BN$2,0,0,ROW()-1,60),ROW()-1,FALSE))</f>
        <v>0</v>
      </c>
      <c r="AR105">
        <f ca="1">IF(AND(ISNUMBER($AR$243),$B$145=1),$AR$243,HLOOKUP(INDIRECT(ADDRESS(2,COLUMN())),OFFSET($BN$2,0,0,ROW()-1,60),ROW()-1,FALSE))</f>
        <v>0</v>
      </c>
      <c r="AS105">
        <f ca="1">IF(AND(ISNUMBER($AS$243),$B$145=1),$AS$243,HLOOKUP(INDIRECT(ADDRESS(2,COLUMN())),OFFSET($BN$2,0,0,ROW()-1,60),ROW()-1,FALSE))</f>
        <v>0</v>
      </c>
      <c r="AT105">
        <f ca="1">IF(AND(ISNUMBER($AT$243),$B$145=1),$AT$243,HLOOKUP(INDIRECT(ADDRESS(2,COLUMN())),OFFSET($BN$2,0,0,ROW()-1,60),ROW()-1,FALSE))</f>
        <v>0</v>
      </c>
      <c r="AU105">
        <f ca="1">IF(AND(ISNUMBER($AU$243),$B$145=1),$AU$243,HLOOKUP(INDIRECT(ADDRESS(2,COLUMN())),OFFSET($BN$2,0,0,ROW()-1,60),ROW()-1,FALSE))</f>
        <v>0</v>
      </c>
      <c r="AV105">
        <f ca="1">IF(AND(ISNUMBER($AV$243),$B$145=1),$AV$243,HLOOKUP(INDIRECT(ADDRESS(2,COLUMN())),OFFSET($BN$2,0,0,ROW()-1,60),ROW()-1,FALSE))</f>
        <v>0</v>
      </c>
      <c r="AW105">
        <f ca="1">IF(AND(ISNUMBER($AW$243),$B$145=1),$AW$243,HLOOKUP(INDIRECT(ADDRESS(2,COLUMN())),OFFSET($BN$2,0,0,ROW()-1,60),ROW()-1,FALSE))</f>
        <v>0</v>
      </c>
      <c r="AX105">
        <f ca="1">IF(AND(ISNUMBER($AX$243),$B$145=1),$AX$243,HLOOKUP(INDIRECT(ADDRESS(2,COLUMN())),OFFSET($BN$2,0,0,ROW()-1,60),ROW()-1,FALSE))</f>
        <v>0</v>
      </c>
      <c r="AY105">
        <f ca="1">IF(AND(ISNUMBER($AY$243),$B$145=1),$AY$243,HLOOKUP(INDIRECT(ADDRESS(2,COLUMN())),OFFSET($BN$2,0,0,ROW()-1,60),ROW()-1,FALSE))</f>
        <v>0</v>
      </c>
      <c r="AZ105">
        <f ca="1">IF(AND(ISNUMBER($AZ$243),$B$145=1),$AZ$243,HLOOKUP(INDIRECT(ADDRESS(2,COLUMN())),OFFSET($BN$2,0,0,ROW()-1,60),ROW()-1,FALSE))</f>
        <v>0</v>
      </c>
      <c r="BA105">
        <f ca="1">IF(AND(ISNUMBER($BA$243),$B$145=1),$BA$243,HLOOKUP(INDIRECT(ADDRESS(2,COLUMN())),OFFSET($BN$2,0,0,ROW()-1,60),ROW()-1,FALSE))</f>
        <v>0</v>
      </c>
      <c r="BB105">
        <f ca="1">IF(AND(ISNUMBER($BB$243),$B$145=1),$BB$243,HLOOKUP(INDIRECT(ADDRESS(2,COLUMN())),OFFSET($BN$2,0,0,ROW()-1,60),ROW()-1,FALSE))</f>
        <v>0</v>
      </c>
      <c r="BC105">
        <f ca="1">IF(AND(ISNUMBER($BC$243),$B$145=1),$BC$243,HLOOKUP(INDIRECT(ADDRESS(2,COLUMN())),OFFSET($BN$2,0,0,ROW()-1,60),ROW()-1,FALSE))</f>
        <v>0</v>
      </c>
      <c r="BD105">
        <f ca="1">IF(AND(ISNUMBER($BD$243),$B$145=1),$BD$243,HLOOKUP(INDIRECT(ADDRESS(2,COLUMN())),OFFSET($BN$2,0,0,ROW()-1,60),ROW()-1,FALSE))</f>
        <v>0</v>
      </c>
      <c r="BE105">
        <f ca="1">IF(AND(ISNUMBER($BE$243),$B$145=1),$BE$243,HLOOKUP(INDIRECT(ADDRESS(2,COLUMN())),OFFSET($BN$2,0,0,ROW()-1,60),ROW()-1,FALSE))</f>
        <v>0</v>
      </c>
      <c r="BF105">
        <f ca="1">IF(AND(ISNUMBER($BF$243),$B$145=1),$BF$243,HLOOKUP(INDIRECT(ADDRESS(2,COLUMN())),OFFSET($BN$2,0,0,ROW()-1,60),ROW()-1,FALSE))</f>
        <v>0</v>
      </c>
      <c r="BG105">
        <f ca="1">IF(AND(ISNUMBER($BG$243),$B$145=1),$BG$243,HLOOKUP(INDIRECT(ADDRESS(2,COLUMN())),OFFSET($BN$2,0,0,ROW()-1,60),ROW()-1,FALSE))</f>
        <v>0</v>
      </c>
      <c r="BH105">
        <f ca="1">IF(AND(ISNUMBER($BH$243),$B$145=1),$BH$243,HLOOKUP(INDIRECT(ADDRESS(2,COLUMN())),OFFSET($BN$2,0,0,ROW()-1,60),ROW()-1,FALSE))</f>
        <v>0</v>
      </c>
      <c r="BI105">
        <f ca="1">IF(AND(ISNUMBER($BI$243),$B$145=1),$BI$243,HLOOKUP(INDIRECT(ADDRESS(2,COLUMN())),OFFSET($BN$2,0,0,ROW()-1,60),ROW()-1,FALSE))</f>
        <v>0</v>
      </c>
      <c r="BJ105">
        <f ca="1">IF(AND(ISNUMBER($BJ$243),$B$145=1),$BJ$243,HLOOKUP(INDIRECT(ADDRESS(2,COLUMN())),OFFSET($BN$2,0,0,ROW()-1,60),ROW()-1,FALSE))</f>
        <v>0</v>
      </c>
      <c r="BK105">
        <f ca="1">IF(AND(ISNUMBER($BK$243),$B$145=1),$BK$243,HLOOKUP(INDIRECT(ADDRESS(2,COLUMN())),OFFSET($BN$2,0,0,ROW()-1,60),ROW()-1,FALSE))</f>
        <v>0</v>
      </c>
      <c r="BL105">
        <f ca="1">IF(AND(ISNUMBER($BL$243),$B$145=1),$BL$243,HLOOKUP(INDIRECT(ADDRESS(2,COLUMN())),OFFSET($BN$2,0,0,ROW()-1,60),ROW()-1,FALSE))</f>
        <v>0</v>
      </c>
      <c r="BM105" t="str">
        <f ca="1">IF(AND(ISNUMBER($BM$243),$B$145=1),$BM$243,HLOOKUP(INDIRECT(ADDRESS(2,COLUMN())),OFFSET($BN$2,0,0,ROW()-1,60),ROW()-1,FALSE))</f>
        <v/>
      </c>
      <c r="BN105">
        <f>0</f>
        <v>0</v>
      </c>
      <c r="BO105">
        <f>0</f>
        <v>0</v>
      </c>
      <c r="BP105">
        <f>0</f>
        <v>0</v>
      </c>
      <c r="BQ105">
        <f>0</f>
        <v>0</v>
      </c>
      <c r="BR105">
        <f>0</f>
        <v>0</v>
      </c>
      <c r="BS105">
        <f>0</f>
        <v>0</v>
      </c>
      <c r="BT105">
        <f>0</f>
        <v>0</v>
      </c>
      <c r="BU105">
        <f>0</f>
        <v>0</v>
      </c>
      <c r="BV105">
        <f>0</f>
        <v>0</v>
      </c>
      <c r="BW105">
        <f>0</f>
        <v>0</v>
      </c>
      <c r="BX105">
        <f>0</f>
        <v>0</v>
      </c>
      <c r="BY105">
        <f>0</f>
        <v>0</v>
      </c>
      <c r="BZ105">
        <f>0</f>
        <v>0</v>
      </c>
      <c r="CA105">
        <f>0</f>
        <v>0</v>
      </c>
      <c r="CB105">
        <f>0</f>
        <v>0</v>
      </c>
      <c r="CC105">
        <f>0</f>
        <v>0</v>
      </c>
      <c r="CD105">
        <f>0</f>
        <v>0</v>
      </c>
      <c r="CE105">
        <f>0</f>
        <v>0</v>
      </c>
      <c r="CF105">
        <f>0</f>
        <v>0</v>
      </c>
      <c r="CG105">
        <f>0</f>
        <v>0</v>
      </c>
      <c r="CH105">
        <f>0</f>
        <v>0</v>
      </c>
      <c r="CI105">
        <f>0</f>
        <v>0</v>
      </c>
      <c r="CJ105">
        <f>0</f>
        <v>0</v>
      </c>
      <c r="CK105">
        <f>0</f>
        <v>0</v>
      </c>
      <c r="CL105">
        <f>0</f>
        <v>0</v>
      </c>
      <c r="CM105">
        <f>0</f>
        <v>0</v>
      </c>
      <c r="CN105">
        <f>0</f>
        <v>0</v>
      </c>
      <c r="CO105">
        <f>0</f>
        <v>0</v>
      </c>
      <c r="CP105">
        <f>0</f>
        <v>0</v>
      </c>
      <c r="CQ105">
        <f>0</f>
        <v>0</v>
      </c>
      <c r="CR105">
        <f>0</f>
        <v>0</v>
      </c>
      <c r="CS105">
        <f>0</f>
        <v>0</v>
      </c>
      <c r="CT105">
        <f>0</f>
        <v>0</v>
      </c>
      <c r="CU105">
        <f>0</f>
        <v>0</v>
      </c>
      <c r="CV105">
        <f>0</f>
        <v>0</v>
      </c>
      <c r="CW105">
        <f>0</f>
        <v>0</v>
      </c>
      <c r="CX105">
        <f>0</f>
        <v>0</v>
      </c>
      <c r="CY105">
        <f>0</f>
        <v>0</v>
      </c>
      <c r="CZ105">
        <f>0</f>
        <v>0</v>
      </c>
      <c r="DA105">
        <f>0</f>
        <v>0</v>
      </c>
      <c r="DB105">
        <f>0</f>
        <v>0</v>
      </c>
      <c r="DC105">
        <f>0</f>
        <v>0</v>
      </c>
      <c r="DD105">
        <f>0</f>
        <v>0</v>
      </c>
      <c r="DE105">
        <f>0</f>
        <v>0</v>
      </c>
      <c r="DF105">
        <f>0</f>
        <v>0</v>
      </c>
      <c r="DG105">
        <f>0</f>
        <v>0</v>
      </c>
      <c r="DH105">
        <f>0</f>
        <v>0</v>
      </c>
      <c r="DI105">
        <f>0</f>
        <v>0</v>
      </c>
      <c r="DJ105">
        <f>0</f>
        <v>0</v>
      </c>
      <c r="DK105">
        <f>0</f>
        <v>0</v>
      </c>
      <c r="DL105">
        <f>0</f>
        <v>0</v>
      </c>
      <c r="DM105">
        <f>0</f>
        <v>0</v>
      </c>
      <c r="DN105">
        <f>0</f>
        <v>0</v>
      </c>
      <c r="DO105">
        <f>0</f>
        <v>0</v>
      </c>
      <c r="DP105">
        <f>0</f>
        <v>0</v>
      </c>
      <c r="DQ105">
        <f>0</f>
        <v>0</v>
      </c>
      <c r="DR105">
        <f>0</f>
        <v>0</v>
      </c>
      <c r="DS105">
        <f>0</f>
        <v>0</v>
      </c>
      <c r="DT105">
        <f>0</f>
        <v>0</v>
      </c>
      <c r="DU105" t="str">
        <f>""</f>
        <v/>
      </c>
    </row>
    <row r="106" spans="1:125" x14ac:dyDescent="0.25">
      <c r="A106" t="str">
        <f>"            Wells Fargo &amp; Co"</f>
        <v xml:space="preserve">            Wells Fargo &amp; Co</v>
      </c>
      <c r="B106" t="str">
        <f>"WFC US Equity"</f>
        <v>WFC US Equity</v>
      </c>
      <c r="C106" t="str">
        <f t="shared" si="12"/>
        <v>FR531</v>
      </c>
      <c r="D106" t="str">
        <f t="shared" si="13"/>
        <v>FED_INVT_IN_RE_VENTURES</v>
      </c>
      <c r="E106" t="str">
        <f t="shared" si="14"/>
        <v>Dynamic</v>
      </c>
      <c r="F106">
        <f ca="1">IF(AND(ISNUMBER($F$244),$B$145=1),$F$244,HLOOKUP(INDIRECT(ADDRESS(2,COLUMN())),OFFSET($BN$2,0,0,ROW()-1,60),ROW()-1,FALSE))</f>
        <v>0</v>
      </c>
      <c r="G106">
        <f ca="1">IF(AND(ISNUMBER($G$244),$B$145=1),$G$244,HLOOKUP(INDIRECT(ADDRESS(2,COLUMN())),OFFSET($BN$2,0,0,ROW()-1,60),ROW()-1,FALSE))</f>
        <v>0</v>
      </c>
      <c r="H106">
        <f ca="1">IF(AND(ISNUMBER($H$244),$B$145=1),$H$244,HLOOKUP(INDIRECT(ADDRESS(2,COLUMN())),OFFSET($BN$2,0,0,ROW()-1,60),ROW()-1,FALSE))</f>
        <v>0</v>
      </c>
      <c r="I106">
        <f ca="1">IF(AND(ISNUMBER($I$244),$B$145=1),$I$244,HLOOKUP(INDIRECT(ADDRESS(2,COLUMN())),OFFSET($BN$2,0,0,ROW()-1,60),ROW()-1,FALSE))</f>
        <v>0</v>
      </c>
      <c r="J106">
        <f ca="1">IF(AND(ISNUMBER($J$244),$B$145=1),$J$244,HLOOKUP(INDIRECT(ADDRESS(2,COLUMN())),OFFSET($BN$2,0,0,ROW()-1,60),ROW()-1,FALSE))</f>
        <v>0</v>
      </c>
      <c r="K106">
        <f ca="1">IF(AND(ISNUMBER($K$244),$B$145=1),$K$244,HLOOKUP(INDIRECT(ADDRESS(2,COLUMN())),OFFSET($BN$2,0,0,ROW()-1,60),ROW()-1,FALSE))</f>
        <v>0</v>
      </c>
      <c r="L106">
        <f ca="1">IF(AND(ISNUMBER($L$244),$B$145=1),$L$244,HLOOKUP(INDIRECT(ADDRESS(2,COLUMN())),OFFSET($BN$2,0,0,ROW()-1,60),ROW()-1,FALSE))</f>
        <v>0</v>
      </c>
      <c r="M106">
        <f ca="1">IF(AND(ISNUMBER($M$244),$B$145=1),$M$244,HLOOKUP(INDIRECT(ADDRESS(2,COLUMN())),OFFSET($BN$2,0,0,ROW()-1,60),ROW()-1,FALSE))</f>
        <v>0</v>
      </c>
      <c r="N106">
        <f ca="1">IF(AND(ISNUMBER($N$244),$B$145=1),$N$244,HLOOKUP(INDIRECT(ADDRESS(2,COLUMN())),OFFSET($BN$2,0,0,ROW()-1,60),ROW()-1,FALSE))</f>
        <v>71</v>
      </c>
      <c r="O106">
        <f ca="1">IF(AND(ISNUMBER($O$244),$B$145=1),$O$244,HLOOKUP(INDIRECT(ADDRESS(2,COLUMN())),OFFSET($BN$2,0,0,ROW()-1,60),ROW()-1,FALSE))</f>
        <v>70</v>
      </c>
      <c r="P106">
        <f ca="1">IF(AND(ISNUMBER($P$244),$B$145=1),$P$244,HLOOKUP(INDIRECT(ADDRESS(2,COLUMN())),OFFSET($BN$2,0,0,ROW()-1,60),ROW()-1,FALSE))</f>
        <v>70</v>
      </c>
      <c r="Q106">
        <f ca="1">IF(AND(ISNUMBER($Q$244),$B$145=1),$Q$244,HLOOKUP(INDIRECT(ADDRESS(2,COLUMN())),OFFSET($BN$2,0,0,ROW()-1,60),ROW()-1,FALSE))</f>
        <v>69</v>
      </c>
      <c r="R106">
        <f ca="1">IF(AND(ISNUMBER($R$244),$B$145=1),$R$244,HLOOKUP(INDIRECT(ADDRESS(2,COLUMN())),OFFSET($BN$2,0,0,ROW()-1,60),ROW()-1,FALSE))</f>
        <v>69</v>
      </c>
      <c r="S106">
        <f ca="1">IF(AND(ISNUMBER($S$244),$B$145=1),$S$244,HLOOKUP(INDIRECT(ADDRESS(2,COLUMN())),OFFSET($BN$2,0,0,ROW()-1,60),ROW()-1,FALSE))</f>
        <v>69</v>
      </c>
      <c r="T106">
        <f ca="1">IF(AND(ISNUMBER($T$244),$B$145=1),$T$244,HLOOKUP(INDIRECT(ADDRESS(2,COLUMN())),OFFSET($BN$2,0,0,ROW()-1,60),ROW()-1,FALSE))</f>
        <v>95</v>
      </c>
      <c r="U106">
        <f ca="1">IF(AND(ISNUMBER($U$244),$B$145=1),$U$244,HLOOKUP(INDIRECT(ADDRESS(2,COLUMN())),OFFSET($BN$2,0,0,ROW()-1,60),ROW()-1,FALSE))</f>
        <v>93</v>
      </c>
      <c r="V106">
        <f ca="1">IF(AND(ISNUMBER($V$244),$B$145=1),$V$244,HLOOKUP(INDIRECT(ADDRESS(2,COLUMN())),OFFSET($BN$2,0,0,ROW()-1,60),ROW()-1,FALSE))</f>
        <v>81</v>
      </c>
      <c r="W106">
        <f ca="1">IF(AND(ISNUMBER($W$244),$B$145=1),$W$244,HLOOKUP(INDIRECT(ADDRESS(2,COLUMN())),OFFSET($BN$2,0,0,ROW()-1,60),ROW()-1,FALSE))</f>
        <v>145</v>
      </c>
      <c r="X106">
        <f ca="1">IF(AND(ISNUMBER($X$244),$B$145=1),$X$244,HLOOKUP(INDIRECT(ADDRESS(2,COLUMN())),OFFSET($BN$2,0,0,ROW()-1,60),ROW()-1,FALSE))</f>
        <v>127</v>
      </c>
      <c r="Y106">
        <f ca="1">IF(AND(ISNUMBER($Y$244),$B$145=1),$Y$244,HLOOKUP(INDIRECT(ADDRESS(2,COLUMN())),OFFSET($BN$2,0,0,ROW()-1,60),ROW()-1,FALSE))</f>
        <v>116</v>
      </c>
      <c r="Z106">
        <f ca="1">IF(AND(ISNUMBER($Z$244),$B$145=1),$Z$244,HLOOKUP(INDIRECT(ADDRESS(2,COLUMN())),OFFSET($BN$2,0,0,ROW()-1,60),ROW()-1,FALSE))</f>
        <v>214</v>
      </c>
      <c r="AA106">
        <f ca="1">IF(AND(ISNUMBER($AA$244),$B$145=1),$AA$244,HLOOKUP(INDIRECT(ADDRESS(2,COLUMN())),OFFSET($BN$2,0,0,ROW()-1,60),ROW()-1,FALSE))</f>
        <v>214</v>
      </c>
      <c r="AB106">
        <f ca="1">IF(AND(ISNUMBER($AB$244),$B$145=1),$AB$244,HLOOKUP(INDIRECT(ADDRESS(2,COLUMN())),OFFSET($BN$2,0,0,ROW()-1,60),ROW()-1,FALSE))</f>
        <v>215</v>
      </c>
      <c r="AC106">
        <f ca="1">IF(AND(ISNUMBER($AC$244),$B$145=1),$AC$244,HLOOKUP(INDIRECT(ADDRESS(2,COLUMN())),OFFSET($BN$2,0,0,ROW()-1,60),ROW()-1,FALSE))</f>
        <v>488</v>
      </c>
      <c r="AD106">
        <f ca="1">IF(AND(ISNUMBER($AD$244),$B$145=1),$AD$244,HLOOKUP(INDIRECT(ADDRESS(2,COLUMN())),OFFSET($BN$2,0,0,ROW()-1,60),ROW()-1,FALSE))</f>
        <v>501</v>
      </c>
      <c r="AE106">
        <f ca="1">IF(AND(ISNUMBER($AE$244),$B$145=1),$AE$244,HLOOKUP(INDIRECT(ADDRESS(2,COLUMN())),OFFSET($BN$2,0,0,ROW()-1,60),ROW()-1,FALSE))</f>
        <v>438</v>
      </c>
      <c r="AF106">
        <f ca="1">IF(AND(ISNUMBER($AF$244),$B$145=1),$AF$244,HLOOKUP(INDIRECT(ADDRESS(2,COLUMN())),OFFSET($BN$2,0,0,ROW()-1,60),ROW()-1,FALSE))</f>
        <v>359</v>
      </c>
      <c r="AG106">
        <f ca="1">IF(AND(ISNUMBER($AG$244),$B$145=1),$AG$244,HLOOKUP(INDIRECT(ADDRESS(2,COLUMN())),OFFSET($BN$2,0,0,ROW()-1,60),ROW()-1,FALSE))</f>
        <v>266</v>
      </c>
      <c r="AH106">
        <f ca="1">IF(AND(ISNUMBER($AH$244),$B$145=1),$AH$244,HLOOKUP(INDIRECT(ADDRESS(2,COLUMN())),OFFSET($BN$2,0,0,ROW()-1,60),ROW()-1,FALSE))</f>
        <v>259</v>
      </c>
      <c r="AI106">
        <f ca="1">IF(AND(ISNUMBER($AI$244),$B$145=1),$AI$244,HLOOKUP(INDIRECT(ADDRESS(2,COLUMN())),OFFSET($BN$2,0,0,ROW()-1,60),ROW()-1,FALSE))</f>
        <v>533</v>
      </c>
      <c r="AJ106">
        <f ca="1">IF(AND(ISNUMBER($AJ$244),$B$145=1),$AJ$244,HLOOKUP(INDIRECT(ADDRESS(2,COLUMN())),OFFSET($BN$2,0,0,ROW()-1,60),ROW()-1,FALSE))</f>
        <v>488</v>
      </c>
      <c r="AK106">
        <f ca="1">IF(AND(ISNUMBER($AK$244),$B$145=1),$AK$244,HLOOKUP(INDIRECT(ADDRESS(2,COLUMN())),OFFSET($BN$2,0,0,ROW()-1,60),ROW()-1,FALSE))</f>
        <v>461</v>
      </c>
      <c r="AL106">
        <f ca="1">IF(AND(ISNUMBER($AL$244),$B$145=1),$AL$244,HLOOKUP(INDIRECT(ADDRESS(2,COLUMN())),OFFSET($BN$2,0,0,ROW()-1,60),ROW()-1,FALSE))</f>
        <v>422</v>
      </c>
      <c r="AM106">
        <f ca="1">IF(AND(ISNUMBER($AM$244),$B$145=1),$AM$244,HLOOKUP(INDIRECT(ADDRESS(2,COLUMN())),OFFSET($BN$2,0,0,ROW()-1,60),ROW()-1,FALSE))</f>
        <v>35</v>
      </c>
      <c r="AN106">
        <f ca="1">IF(AND(ISNUMBER($AN$244),$B$145=1),$AN$244,HLOOKUP(INDIRECT(ADDRESS(2,COLUMN())),OFFSET($BN$2,0,0,ROW()-1,60),ROW()-1,FALSE))</f>
        <v>36</v>
      </c>
      <c r="AO106">
        <f ca="1">IF(AND(ISNUMBER($AO$244),$B$145=1),$AO$244,HLOOKUP(INDIRECT(ADDRESS(2,COLUMN())),OFFSET($BN$2,0,0,ROW()-1,60),ROW()-1,FALSE))</f>
        <v>36</v>
      </c>
      <c r="AP106">
        <f ca="1">IF(AND(ISNUMBER($AP$244),$B$145=1),$AP$244,HLOOKUP(INDIRECT(ADDRESS(2,COLUMN())),OFFSET($BN$2,0,0,ROW()-1,60),ROW()-1,FALSE))</f>
        <v>36</v>
      </c>
      <c r="AQ106">
        <f ca="1">IF(AND(ISNUMBER($AQ$244),$B$145=1),$AQ$244,HLOOKUP(INDIRECT(ADDRESS(2,COLUMN())),OFFSET($BN$2,0,0,ROW()-1,60),ROW()-1,FALSE))</f>
        <v>64</v>
      </c>
      <c r="AR106">
        <f ca="1">IF(AND(ISNUMBER($AR$244),$B$145=1),$AR$244,HLOOKUP(INDIRECT(ADDRESS(2,COLUMN())),OFFSET($BN$2,0,0,ROW()-1,60),ROW()-1,FALSE))</f>
        <v>0</v>
      </c>
      <c r="AS106">
        <f ca="1">IF(AND(ISNUMBER($AS$244),$B$145=1),$AS$244,HLOOKUP(INDIRECT(ADDRESS(2,COLUMN())),OFFSET($BN$2,0,0,ROW()-1,60),ROW()-1,FALSE))</f>
        <v>1</v>
      </c>
      <c r="AT106">
        <f ca="1">IF(AND(ISNUMBER($AT$244),$B$145=1),$AT$244,HLOOKUP(INDIRECT(ADDRESS(2,COLUMN())),OFFSET($BN$2,0,0,ROW()-1,60),ROW()-1,FALSE))</f>
        <v>1</v>
      </c>
      <c r="AU106">
        <f ca="1">IF(AND(ISNUMBER($AU$244),$B$145=1),$AU$244,HLOOKUP(INDIRECT(ADDRESS(2,COLUMN())),OFFSET($BN$2,0,0,ROW()-1,60),ROW()-1,FALSE))</f>
        <v>1</v>
      </c>
      <c r="AV106">
        <f ca="1">IF(AND(ISNUMBER($AV$244),$B$145=1),$AV$244,HLOOKUP(INDIRECT(ADDRESS(2,COLUMN())),OFFSET($BN$2,0,0,ROW()-1,60),ROW()-1,FALSE))</f>
        <v>3</v>
      </c>
      <c r="AW106">
        <f ca="1">IF(AND(ISNUMBER($AW$244),$B$145=1),$AW$244,HLOOKUP(INDIRECT(ADDRESS(2,COLUMN())),OFFSET($BN$2,0,0,ROW()-1,60),ROW()-1,FALSE))</f>
        <v>4</v>
      </c>
      <c r="AX106">
        <f ca="1">IF(AND(ISNUMBER($AX$244),$B$145=1),$AX$244,HLOOKUP(INDIRECT(ADDRESS(2,COLUMN())),OFFSET($BN$2,0,0,ROW()-1,60),ROW()-1,FALSE))</f>
        <v>7</v>
      </c>
      <c r="AY106">
        <f ca="1">IF(AND(ISNUMBER($AY$244),$B$145=1),$AY$244,HLOOKUP(INDIRECT(ADDRESS(2,COLUMN())),OFFSET($BN$2,0,0,ROW()-1,60),ROW()-1,FALSE))</f>
        <v>8</v>
      </c>
      <c r="AZ106">
        <f ca="1">IF(AND(ISNUMBER($AZ$244),$B$145=1),$AZ$244,HLOOKUP(INDIRECT(ADDRESS(2,COLUMN())),OFFSET($BN$2,0,0,ROW()-1,60),ROW()-1,FALSE))</f>
        <v>9</v>
      </c>
      <c r="BA106">
        <f ca="1">IF(AND(ISNUMBER($BA$244),$B$145=1),$BA$244,HLOOKUP(INDIRECT(ADDRESS(2,COLUMN())),OFFSET($BN$2,0,0,ROW()-1,60),ROW()-1,FALSE))</f>
        <v>9</v>
      </c>
      <c r="BB106">
        <f ca="1">IF(AND(ISNUMBER($BB$244),$B$145=1),$BB$244,HLOOKUP(INDIRECT(ADDRESS(2,COLUMN())),OFFSET($BN$2,0,0,ROW()-1,60),ROW()-1,FALSE))</f>
        <v>11</v>
      </c>
      <c r="BC106">
        <f ca="1">IF(AND(ISNUMBER($BC$244),$B$145=1),$BC$244,HLOOKUP(INDIRECT(ADDRESS(2,COLUMN())),OFFSET($BN$2,0,0,ROW()-1,60),ROW()-1,FALSE))</f>
        <v>86</v>
      </c>
      <c r="BD106">
        <f ca="1">IF(AND(ISNUMBER($BD$244),$B$145=1),$BD$244,HLOOKUP(INDIRECT(ADDRESS(2,COLUMN())),OFFSET($BN$2,0,0,ROW()-1,60),ROW()-1,FALSE))</f>
        <v>104</v>
      </c>
      <c r="BE106">
        <f ca="1">IF(AND(ISNUMBER($BE$244),$B$145=1),$BE$244,HLOOKUP(INDIRECT(ADDRESS(2,COLUMN())),OFFSET($BN$2,0,0,ROW()-1,60),ROW()-1,FALSE))</f>
        <v>106</v>
      </c>
      <c r="BF106">
        <f ca="1">IF(AND(ISNUMBER($BF$244),$B$145=1),$BF$244,HLOOKUP(INDIRECT(ADDRESS(2,COLUMN())),OFFSET($BN$2,0,0,ROW()-1,60),ROW()-1,FALSE))</f>
        <v>100</v>
      </c>
      <c r="BG106">
        <f ca="1">IF(AND(ISNUMBER($BG$244),$B$145=1),$BG$244,HLOOKUP(INDIRECT(ADDRESS(2,COLUMN())),OFFSET($BN$2,0,0,ROW()-1,60),ROW()-1,FALSE))</f>
        <v>113</v>
      </c>
      <c r="BH106">
        <f ca="1">IF(AND(ISNUMBER($BH$244),$B$145=1),$BH$244,HLOOKUP(INDIRECT(ADDRESS(2,COLUMN())),OFFSET($BN$2,0,0,ROW()-1,60),ROW()-1,FALSE))</f>
        <v>112</v>
      </c>
      <c r="BI106">
        <f ca="1">IF(AND(ISNUMBER($BI$244),$B$145=1),$BI$244,HLOOKUP(INDIRECT(ADDRESS(2,COLUMN())),OFFSET($BN$2,0,0,ROW()-1,60),ROW()-1,FALSE))</f>
        <v>116</v>
      </c>
      <c r="BJ106">
        <f ca="1">IF(AND(ISNUMBER($BJ$244),$B$145=1),$BJ$244,HLOOKUP(INDIRECT(ADDRESS(2,COLUMN())),OFFSET($BN$2,0,0,ROW()-1,60),ROW()-1,FALSE))</f>
        <v>118</v>
      </c>
      <c r="BK106">
        <f ca="1">IF(AND(ISNUMBER($BK$244),$B$145=1),$BK$244,HLOOKUP(INDIRECT(ADDRESS(2,COLUMN())),OFFSET($BN$2,0,0,ROW()-1,60),ROW()-1,FALSE))</f>
        <v>122</v>
      </c>
      <c r="BL106">
        <f ca="1">IF(AND(ISNUMBER($BL$244),$B$145=1),$BL$244,HLOOKUP(INDIRECT(ADDRESS(2,COLUMN())),OFFSET($BN$2,0,0,ROW()-1,60),ROW()-1,FALSE))</f>
        <v>120</v>
      </c>
      <c r="BM106" t="str">
        <f ca="1">IF(AND(ISNUMBER($BM$244),$B$145=1),$BM$244,HLOOKUP(INDIRECT(ADDRESS(2,COLUMN())),OFFSET($BN$2,0,0,ROW()-1,60),ROW()-1,FALSE))</f>
        <v/>
      </c>
      <c r="BN106">
        <f>0</f>
        <v>0</v>
      </c>
      <c r="BO106">
        <f>0</f>
        <v>0</v>
      </c>
      <c r="BP106">
        <f>0</f>
        <v>0</v>
      </c>
      <c r="BQ106">
        <f>0</f>
        <v>0</v>
      </c>
      <c r="BR106">
        <f>0</f>
        <v>0</v>
      </c>
      <c r="BS106">
        <f>0</f>
        <v>0</v>
      </c>
      <c r="BT106">
        <f>0</f>
        <v>0</v>
      </c>
      <c r="BU106">
        <f>0</f>
        <v>0</v>
      </c>
      <c r="BV106">
        <f>71</f>
        <v>71</v>
      </c>
      <c r="BW106">
        <f>70</f>
        <v>70</v>
      </c>
      <c r="BX106">
        <f>70</f>
        <v>70</v>
      </c>
      <c r="BY106">
        <f>69</f>
        <v>69</v>
      </c>
      <c r="BZ106">
        <f>69</f>
        <v>69</v>
      </c>
      <c r="CA106">
        <f>69</f>
        <v>69</v>
      </c>
      <c r="CB106">
        <f>95</f>
        <v>95</v>
      </c>
      <c r="CC106">
        <f>93</f>
        <v>93</v>
      </c>
      <c r="CD106">
        <f>81</f>
        <v>81</v>
      </c>
      <c r="CE106">
        <f>145</f>
        <v>145</v>
      </c>
      <c r="CF106">
        <f>127</f>
        <v>127</v>
      </c>
      <c r="CG106">
        <f>116</f>
        <v>116</v>
      </c>
      <c r="CH106">
        <f>214</f>
        <v>214</v>
      </c>
      <c r="CI106">
        <f>214</f>
        <v>214</v>
      </c>
      <c r="CJ106">
        <f>215</f>
        <v>215</v>
      </c>
      <c r="CK106">
        <f>488</f>
        <v>488</v>
      </c>
      <c r="CL106">
        <f>501</f>
        <v>501</v>
      </c>
      <c r="CM106">
        <f>438</f>
        <v>438</v>
      </c>
      <c r="CN106">
        <f>359</f>
        <v>359</v>
      </c>
      <c r="CO106">
        <f>266</f>
        <v>266</v>
      </c>
      <c r="CP106">
        <f>259</f>
        <v>259</v>
      </c>
      <c r="CQ106">
        <f>533</f>
        <v>533</v>
      </c>
      <c r="CR106">
        <f>488</f>
        <v>488</v>
      </c>
      <c r="CS106">
        <f>461</f>
        <v>461</v>
      </c>
      <c r="CT106">
        <f>422</f>
        <v>422</v>
      </c>
      <c r="CU106">
        <f>35</f>
        <v>35</v>
      </c>
      <c r="CV106">
        <f>36</f>
        <v>36</v>
      </c>
      <c r="CW106">
        <f>36</f>
        <v>36</v>
      </c>
      <c r="CX106">
        <f>36</f>
        <v>36</v>
      </c>
      <c r="CY106">
        <f>64</f>
        <v>64</v>
      </c>
      <c r="CZ106">
        <f>0</f>
        <v>0</v>
      </c>
      <c r="DA106">
        <f>1</f>
        <v>1</v>
      </c>
      <c r="DB106">
        <f>1</f>
        <v>1</v>
      </c>
      <c r="DC106">
        <f>1</f>
        <v>1</v>
      </c>
      <c r="DD106">
        <f>3</f>
        <v>3</v>
      </c>
      <c r="DE106">
        <f>4</f>
        <v>4</v>
      </c>
      <c r="DF106">
        <f>7</f>
        <v>7</v>
      </c>
      <c r="DG106">
        <f>8</f>
        <v>8</v>
      </c>
      <c r="DH106">
        <f>9</f>
        <v>9</v>
      </c>
      <c r="DI106">
        <f>9</f>
        <v>9</v>
      </c>
      <c r="DJ106">
        <f>11</f>
        <v>11</v>
      </c>
      <c r="DK106">
        <f>86</f>
        <v>86</v>
      </c>
      <c r="DL106">
        <f>104</f>
        <v>104</v>
      </c>
      <c r="DM106">
        <f>106</f>
        <v>106</v>
      </c>
      <c r="DN106">
        <f>100</f>
        <v>100</v>
      </c>
      <c r="DO106">
        <f>113</f>
        <v>113</v>
      </c>
      <c r="DP106">
        <f>112</f>
        <v>112</v>
      </c>
      <c r="DQ106">
        <f>116</f>
        <v>116</v>
      </c>
      <c r="DR106">
        <f>118</f>
        <v>118</v>
      </c>
      <c r="DS106">
        <f>122</f>
        <v>122</v>
      </c>
      <c r="DT106">
        <f>120</f>
        <v>120</v>
      </c>
      <c r="DU106" t="str">
        <f>""</f>
        <v/>
      </c>
    </row>
    <row r="107" spans="1:125" x14ac:dyDescent="0.25">
      <c r="A107" t="str">
        <f>"            Western Alliance Bancorp"</f>
        <v xml:space="preserve">            Western Alliance Bancorp</v>
      </c>
      <c r="B107" t="str">
        <f>"WAL US Equity"</f>
        <v>WAL US Equity</v>
      </c>
      <c r="C107" t="str">
        <f t="shared" si="12"/>
        <v>FR531</v>
      </c>
      <c r="D107" t="str">
        <f t="shared" si="13"/>
        <v>FED_INVT_IN_RE_VENTURES</v>
      </c>
      <c r="E107" t="str">
        <f t="shared" si="14"/>
        <v>Dynamic</v>
      </c>
      <c r="F107">
        <f ca="1">IF(AND(ISNUMBER($F$245),$B$145=1),$F$245,HLOOKUP(INDIRECT(ADDRESS(2,COLUMN())),OFFSET($BN$2,0,0,ROW()-1,60),ROW()-1,FALSE))</f>
        <v>574.505</v>
      </c>
      <c r="G107">
        <f ca="1">IF(AND(ISNUMBER($G$245),$B$145=1),$G$245,HLOOKUP(INDIRECT(ADDRESS(2,COLUMN())),OFFSET($BN$2,0,0,ROW()-1,60),ROW()-1,FALSE))</f>
        <v>521.03099999999995</v>
      </c>
      <c r="H107">
        <f ca="1">IF(AND(ISNUMBER($H$245),$B$145=1),$H$245,HLOOKUP(INDIRECT(ADDRESS(2,COLUMN())),OFFSET($BN$2,0,0,ROW()-1,60),ROW()-1,FALSE))</f>
        <v>509.49400000000003</v>
      </c>
      <c r="I107">
        <f ca="1">IF(AND(ISNUMBER($I$245),$B$145=1),$I$245,HLOOKUP(INDIRECT(ADDRESS(2,COLUMN())),OFFSET($BN$2,0,0,ROW()-1,60),ROW()-1,FALSE))</f>
        <v>523.25</v>
      </c>
      <c r="J107">
        <f ca="1">IF(AND(ISNUMBER($J$245),$B$145=1),$J$245,HLOOKUP(INDIRECT(ADDRESS(2,COLUMN())),OFFSET($BN$2,0,0,ROW()-1,60),ROW()-1,FALSE))</f>
        <v>541.83199999999999</v>
      </c>
      <c r="K107">
        <f ca="1">IF(AND(ISNUMBER($K$245),$B$145=1),$K$245,HLOOKUP(INDIRECT(ADDRESS(2,COLUMN())),OFFSET($BN$2,0,0,ROW()-1,60),ROW()-1,FALSE))</f>
        <v>522.52099999999996</v>
      </c>
      <c r="L107">
        <f ca="1">IF(AND(ISNUMBER($L$245),$B$145=1),$L$245,HLOOKUP(INDIRECT(ADDRESS(2,COLUMN())),OFFSET($BN$2,0,0,ROW()-1,60),ROW()-1,FALSE))</f>
        <v>550.42499999999995</v>
      </c>
      <c r="M107">
        <f ca="1">IF(AND(ISNUMBER($M$245),$B$145=1),$M$245,HLOOKUP(INDIRECT(ADDRESS(2,COLUMN())),OFFSET($BN$2,0,0,ROW()-1,60),ROW()-1,FALSE))</f>
        <v>578.19299999999998</v>
      </c>
      <c r="N107">
        <f ca="1">IF(AND(ISNUMBER($N$245),$B$145=1),$N$245,HLOOKUP(INDIRECT(ADDRESS(2,COLUMN())),OFFSET($BN$2,0,0,ROW()-1,60),ROW()-1,FALSE))</f>
        <v>589.22</v>
      </c>
      <c r="O107">
        <f ca="1">IF(AND(ISNUMBER($O$245),$B$145=1),$O$245,HLOOKUP(INDIRECT(ADDRESS(2,COLUMN())),OFFSET($BN$2,0,0,ROW()-1,60),ROW()-1,FALSE))</f>
        <v>607.34100000000001</v>
      </c>
      <c r="P107">
        <f ca="1">IF(AND(ISNUMBER($P$245),$B$145=1),$P$245,HLOOKUP(INDIRECT(ADDRESS(2,COLUMN())),OFFSET($BN$2,0,0,ROW()-1,60),ROW()-1,FALSE))</f>
        <v>587.17399999999998</v>
      </c>
      <c r="Q107">
        <f ca="1">IF(AND(ISNUMBER($Q$245),$B$145=1),$Q$245,HLOOKUP(INDIRECT(ADDRESS(2,COLUMN())),OFFSET($BN$2,0,0,ROW()-1,60),ROW()-1,FALSE))</f>
        <v>601.39700000000005</v>
      </c>
      <c r="R107">
        <f ca="1">IF(AND(ISNUMBER($R$245),$B$145=1),$R$245,HLOOKUP(INDIRECT(ADDRESS(2,COLUMN())),OFFSET($BN$2,0,0,ROW()-1,60),ROW()-1,FALSE))</f>
        <v>540.07100000000003</v>
      </c>
      <c r="S107">
        <f ca="1">IF(AND(ISNUMBER($S$245),$B$145=1),$S$245,HLOOKUP(INDIRECT(ADDRESS(2,COLUMN())),OFFSET($BN$2,0,0,ROW()-1,60),ROW()-1,FALSE))</f>
        <v>478.27100000000002</v>
      </c>
      <c r="T107">
        <f ca="1">IF(AND(ISNUMBER($T$245),$B$145=1),$T$245,HLOOKUP(INDIRECT(ADDRESS(2,COLUMN())),OFFSET($BN$2,0,0,ROW()-1,60),ROW()-1,FALSE))</f>
        <v>457.32400000000001</v>
      </c>
      <c r="U107">
        <f ca="1">IF(AND(ISNUMBER($U$245),$B$145=1),$U$245,HLOOKUP(INDIRECT(ADDRESS(2,COLUMN())),OFFSET($BN$2,0,0,ROW()-1,60),ROW()-1,FALSE))</f>
        <v>465.60899999999998</v>
      </c>
      <c r="V107">
        <f ca="1">IF(AND(ISNUMBER($V$245),$B$145=1),$V$245,HLOOKUP(INDIRECT(ADDRESS(2,COLUMN())),OFFSET($BN$2,0,0,ROW()-1,60),ROW()-1,FALSE))</f>
        <v>381.39</v>
      </c>
      <c r="W107">
        <f ca="1">IF(AND(ISNUMBER($W$245),$B$145=1),$W$245,HLOOKUP(INDIRECT(ADDRESS(2,COLUMN())),OFFSET($BN$2,0,0,ROW()-1,60),ROW()-1,FALSE))</f>
        <v>377.00900000000001</v>
      </c>
      <c r="X107">
        <f ca="1">IF(AND(ISNUMBER($X$245),$B$145=1),$X$245,HLOOKUP(INDIRECT(ADDRESS(2,COLUMN())),OFFSET($BN$2,0,0,ROW()-1,60),ROW()-1,FALSE))</f>
        <v>391.54399999999998</v>
      </c>
      <c r="Y107">
        <f ca="1">IF(AND(ISNUMBER($Y$245),$B$145=1),$Y$245,HLOOKUP(INDIRECT(ADDRESS(2,COLUMN())),OFFSET($BN$2,0,0,ROW()-1,60),ROW()-1,FALSE))</f>
        <v>380.63299999999998</v>
      </c>
      <c r="Z107">
        <f ca="1">IF(AND(ISNUMBER($Z$245),$B$145=1),$Z$245,HLOOKUP(INDIRECT(ADDRESS(2,COLUMN())),OFFSET($BN$2,0,0,ROW()-1,60),ROW()-1,FALSE))</f>
        <v>388.07400000000001</v>
      </c>
      <c r="AA107">
        <f ca="1">IF(AND(ISNUMBER($AA$245),$B$145=1),$AA$245,HLOOKUP(INDIRECT(ADDRESS(2,COLUMN())),OFFSET($BN$2,0,0,ROW()-1,60),ROW()-1,FALSE))</f>
        <v>338.565</v>
      </c>
      <c r="AB107">
        <f ca="1">IF(AND(ISNUMBER($AB$245),$B$145=1),$AB$245,HLOOKUP(INDIRECT(ADDRESS(2,COLUMN())),OFFSET($BN$2,0,0,ROW()-1,60),ROW()-1,FALSE))</f>
        <v>321.21199999999999</v>
      </c>
      <c r="AC107">
        <f ca="1">IF(AND(ISNUMBER($AC$245),$B$145=1),$AC$245,HLOOKUP(INDIRECT(ADDRESS(2,COLUMN())),OFFSET($BN$2,0,0,ROW()-1,60),ROW()-1,FALSE))</f>
        <v>332.09100000000001</v>
      </c>
      <c r="AD107">
        <f ca="1">IF(AND(ISNUMBER($AD$245),$B$145=1),$AD$245,HLOOKUP(INDIRECT(ADDRESS(2,COLUMN())),OFFSET($BN$2,0,0,ROW()-1,60),ROW()-1,FALSE))</f>
        <v>342.38200000000001</v>
      </c>
      <c r="AE107">
        <f ca="1">IF(AND(ISNUMBER($AE$245),$B$145=1),$AE$245,HLOOKUP(INDIRECT(ADDRESS(2,COLUMN())),OFFSET($BN$2,0,0,ROW()-1,60),ROW()-1,FALSE))</f>
        <v>295.19900000000001</v>
      </c>
      <c r="AF107">
        <f ca="1">IF(AND(ISNUMBER($AF$245),$B$145=1),$AF$245,HLOOKUP(INDIRECT(ADDRESS(2,COLUMN())),OFFSET($BN$2,0,0,ROW()-1,60),ROW()-1,FALSE))</f>
        <v>304.13600000000002</v>
      </c>
      <c r="AG107">
        <f ca="1">IF(AND(ISNUMBER($AG$245),$B$145=1),$AG$245,HLOOKUP(INDIRECT(ADDRESS(2,COLUMN())),OFFSET($BN$2,0,0,ROW()-1,60),ROW()-1,FALSE))</f>
        <v>288.911</v>
      </c>
      <c r="AH107">
        <f ca="1">IF(AND(ISNUMBER($AH$245),$B$145=1),$AH$245,HLOOKUP(INDIRECT(ADDRESS(2,COLUMN())),OFFSET($BN$2,0,0,ROW()-1,60),ROW()-1,FALSE))</f>
        <v>267.02300000000002</v>
      </c>
      <c r="AI107">
        <f ca="1">IF(AND(ISNUMBER($AI$245),$B$145=1),$AI$245,HLOOKUP(INDIRECT(ADDRESS(2,COLUMN())),OFFSET($BN$2,0,0,ROW()-1,60),ROW()-1,FALSE))</f>
        <v>252.94800000000001</v>
      </c>
      <c r="AJ107">
        <f ca="1">IF(AND(ISNUMBER($AJ$245),$B$145=1),$AJ$245,HLOOKUP(INDIRECT(ADDRESS(2,COLUMN())),OFFSET($BN$2,0,0,ROW()-1,60),ROW()-1,FALSE))</f>
        <v>234.6</v>
      </c>
      <c r="AK107">
        <f ca="1">IF(AND(ISNUMBER($AK$245),$B$145=1),$AK$245,HLOOKUP(INDIRECT(ADDRESS(2,COLUMN())),OFFSET($BN$2,0,0,ROW()-1,60),ROW()-1,FALSE))</f>
        <v>206.44800000000001</v>
      </c>
      <c r="AL107">
        <f ca="1">IF(AND(ISNUMBER($AL$245),$B$145=1),$AL$245,HLOOKUP(INDIRECT(ADDRESS(2,COLUMN())),OFFSET($BN$2,0,0,ROW()-1,60),ROW()-1,FALSE))</f>
        <v>187.37799999999999</v>
      </c>
      <c r="AM107">
        <f ca="1">IF(AND(ISNUMBER($AM$245),$B$145=1),$AM$245,HLOOKUP(INDIRECT(ADDRESS(2,COLUMN())),OFFSET($BN$2,0,0,ROW()-1,60),ROW()-1,FALSE))</f>
        <v>166.148</v>
      </c>
      <c r="AN107">
        <f ca="1">IF(AND(ISNUMBER($AN$245),$B$145=1),$AN$245,HLOOKUP(INDIRECT(ADDRESS(2,COLUMN())),OFFSET($BN$2,0,0,ROW()-1,60),ROW()-1,FALSE))</f>
        <v>171.661</v>
      </c>
      <c r="AO107">
        <f ca="1">IF(AND(ISNUMBER($AO$245),$B$145=1),$AO$245,HLOOKUP(INDIRECT(ADDRESS(2,COLUMN())),OFFSET($BN$2,0,0,ROW()-1,60),ROW()-1,FALSE))</f>
        <v>175.55099999999999</v>
      </c>
      <c r="AP107">
        <f ca="1">IF(AND(ISNUMBER($AP$245),$B$145=1),$AP$245,HLOOKUP(INDIRECT(ADDRESS(2,COLUMN())),OFFSET($BN$2,0,0,ROW()-1,60),ROW()-1,FALSE))</f>
        <v>152.715</v>
      </c>
      <c r="AQ107">
        <f ca="1">IF(AND(ISNUMBER($AQ$245),$B$145=1),$AQ$245,HLOOKUP(INDIRECT(ADDRESS(2,COLUMN())),OFFSET($BN$2,0,0,ROW()-1,60),ROW()-1,FALSE))</f>
        <v>121.78</v>
      </c>
      <c r="AR107">
        <f ca="1">IF(AND(ISNUMBER($AR$245),$B$145=1),$AR$245,HLOOKUP(INDIRECT(ADDRESS(2,COLUMN())),OFFSET($BN$2,0,0,ROW()-1,60),ROW()-1,FALSE))</f>
        <v>126.85299999999999</v>
      </c>
      <c r="AS107">
        <f ca="1">IF(AND(ISNUMBER($AS$245),$B$145=1),$AS$245,HLOOKUP(INDIRECT(ADDRESS(2,COLUMN())),OFFSET($BN$2,0,0,ROW()-1,60),ROW()-1,FALSE))</f>
        <v>123.205</v>
      </c>
      <c r="AT107">
        <f ca="1">IF(AND(ISNUMBER($AT$245),$B$145=1),$AT$245,HLOOKUP(INDIRECT(ADDRESS(2,COLUMN())),OFFSET($BN$2,0,0,ROW()-1,60),ROW()-1,FALSE))</f>
        <v>0</v>
      </c>
      <c r="AU107">
        <f ca="1">IF(AND(ISNUMBER($AU$245),$B$145=1),$AU$245,HLOOKUP(INDIRECT(ADDRESS(2,COLUMN())),OFFSET($BN$2,0,0,ROW()-1,60),ROW()-1,FALSE))</f>
        <v>0</v>
      </c>
      <c r="AV107">
        <f ca="1">IF(AND(ISNUMBER($AV$245),$B$145=1),$AV$245,HLOOKUP(INDIRECT(ADDRESS(2,COLUMN())),OFFSET($BN$2,0,0,ROW()-1,60),ROW()-1,FALSE))</f>
        <v>1.135</v>
      </c>
      <c r="AW107">
        <f ca="1">IF(AND(ISNUMBER($AW$245),$B$145=1),$AW$245,HLOOKUP(INDIRECT(ADDRESS(2,COLUMN())),OFFSET($BN$2,0,0,ROW()-1,60),ROW()-1,FALSE))</f>
        <v>1.135</v>
      </c>
      <c r="AX107">
        <f ca="1">IF(AND(ISNUMBER($AX$245),$B$145=1),$AX$245,HLOOKUP(INDIRECT(ADDRESS(2,COLUMN())),OFFSET($BN$2,0,0,ROW()-1,60),ROW()-1,FALSE))</f>
        <v>1.802</v>
      </c>
      <c r="AY107">
        <f ca="1">IF(AND(ISNUMBER($AY$245),$B$145=1),$AY$245,HLOOKUP(INDIRECT(ADDRESS(2,COLUMN())),OFFSET($BN$2,0,0,ROW()-1,60),ROW()-1,FALSE))</f>
        <v>1.135</v>
      </c>
      <c r="AZ107">
        <f ca="1">IF(AND(ISNUMBER($AZ$245),$B$145=1),$AZ$245,HLOOKUP(INDIRECT(ADDRESS(2,COLUMN())),OFFSET($BN$2,0,0,ROW()-1,60),ROW()-1,FALSE))</f>
        <v>1.802</v>
      </c>
      <c r="BA107">
        <f ca="1">IF(AND(ISNUMBER($BA$245),$B$145=1),$BA$245,HLOOKUP(INDIRECT(ADDRESS(2,COLUMN())),OFFSET($BN$2,0,0,ROW()-1,60),ROW()-1,FALSE))</f>
        <v>1.135</v>
      </c>
      <c r="BB107">
        <f ca="1">IF(AND(ISNUMBER($BB$245),$B$145=1),$BB$245,HLOOKUP(INDIRECT(ADDRESS(2,COLUMN())),OFFSET($BN$2,0,0,ROW()-1,60),ROW()-1,FALSE))</f>
        <v>1.135</v>
      </c>
      <c r="BC107">
        <f ca="1">IF(AND(ISNUMBER($BC$245),$B$145=1),$BC$245,HLOOKUP(INDIRECT(ADDRESS(2,COLUMN())),OFFSET($BN$2,0,0,ROW()-1,60),ROW()-1,FALSE))</f>
        <v>1.135</v>
      </c>
      <c r="BD107">
        <f ca="1">IF(AND(ISNUMBER($BD$245),$B$145=1),$BD$245,HLOOKUP(INDIRECT(ADDRESS(2,COLUMN())),OFFSET($BN$2,0,0,ROW()-1,60),ROW()-1,FALSE))</f>
        <v>1.135</v>
      </c>
      <c r="BE107">
        <f ca="1">IF(AND(ISNUMBER($BE$245),$B$145=1),$BE$245,HLOOKUP(INDIRECT(ADDRESS(2,COLUMN())),OFFSET($BN$2,0,0,ROW()-1,60),ROW()-1,FALSE))</f>
        <v>1.135</v>
      </c>
      <c r="BF107">
        <f ca="1">IF(AND(ISNUMBER($BF$245),$B$145=1),$BF$245,HLOOKUP(INDIRECT(ADDRESS(2,COLUMN())),OFFSET($BN$2,0,0,ROW()-1,60),ROW()-1,FALSE))</f>
        <v>1.135</v>
      </c>
      <c r="BG107">
        <f ca="1">IF(AND(ISNUMBER($BG$245),$B$145=1),$BG$245,HLOOKUP(INDIRECT(ADDRESS(2,COLUMN())),OFFSET($BN$2,0,0,ROW()-1,60),ROW()-1,FALSE))</f>
        <v>1.135</v>
      </c>
      <c r="BH107">
        <f ca="1">IF(AND(ISNUMBER($BH$245),$B$145=1),$BH$245,HLOOKUP(INDIRECT(ADDRESS(2,COLUMN())),OFFSET($BN$2,0,0,ROW()-1,60),ROW()-1,FALSE))</f>
        <v>1.135</v>
      </c>
      <c r="BI107">
        <f ca="1">IF(AND(ISNUMBER($BI$245),$B$145=1),$BI$245,HLOOKUP(INDIRECT(ADDRESS(2,COLUMN())),OFFSET($BN$2,0,0,ROW()-1,60),ROW()-1,FALSE))</f>
        <v>1.135</v>
      </c>
      <c r="BJ107">
        <f ca="1">IF(AND(ISNUMBER($BJ$245),$B$145=1),$BJ$245,HLOOKUP(INDIRECT(ADDRESS(2,COLUMN())),OFFSET($BN$2,0,0,ROW()-1,60),ROW()-1,FALSE))</f>
        <v>1.135</v>
      </c>
      <c r="BK107">
        <f ca="1">IF(AND(ISNUMBER($BK$245),$B$145=1),$BK$245,HLOOKUP(INDIRECT(ADDRESS(2,COLUMN())),OFFSET($BN$2,0,0,ROW()-1,60),ROW()-1,FALSE))</f>
        <v>1.135</v>
      </c>
      <c r="BL107">
        <f ca="1">IF(AND(ISNUMBER($BL$245),$B$145=1),$BL$245,HLOOKUP(INDIRECT(ADDRESS(2,COLUMN())),OFFSET($BN$2,0,0,ROW()-1,60),ROW()-1,FALSE))</f>
        <v>1.135</v>
      </c>
      <c r="BM107" t="str">
        <f ca="1">IF(AND(ISNUMBER($BM$245),$B$145=1),$BM$245,HLOOKUP(INDIRECT(ADDRESS(2,COLUMN())),OFFSET($BN$2,0,0,ROW()-1,60),ROW()-1,FALSE))</f>
        <v/>
      </c>
      <c r="BN107">
        <f>574.505</f>
        <v>574.505</v>
      </c>
      <c r="BO107">
        <f>521.031</f>
        <v>521.03099999999995</v>
      </c>
      <c r="BP107">
        <f>509.494</f>
        <v>509.49400000000003</v>
      </c>
      <c r="BQ107">
        <f>523.25</f>
        <v>523.25</v>
      </c>
      <c r="BR107">
        <f>541.832</f>
        <v>541.83199999999999</v>
      </c>
      <c r="BS107">
        <f>522.521</f>
        <v>522.52099999999996</v>
      </c>
      <c r="BT107">
        <f>550.425</f>
        <v>550.42499999999995</v>
      </c>
      <c r="BU107">
        <f>578.193</f>
        <v>578.19299999999998</v>
      </c>
      <c r="BV107">
        <f>589.22</f>
        <v>589.22</v>
      </c>
      <c r="BW107">
        <f>607.341</f>
        <v>607.34100000000001</v>
      </c>
      <c r="BX107">
        <f>587.174</f>
        <v>587.17399999999998</v>
      </c>
      <c r="BY107">
        <f>601.397</f>
        <v>601.39700000000005</v>
      </c>
      <c r="BZ107">
        <f>540.071</f>
        <v>540.07100000000003</v>
      </c>
      <c r="CA107">
        <f>478.271</f>
        <v>478.27100000000002</v>
      </c>
      <c r="CB107">
        <f>457.324</f>
        <v>457.32400000000001</v>
      </c>
      <c r="CC107">
        <f>465.609</f>
        <v>465.60899999999998</v>
      </c>
      <c r="CD107">
        <f>381.39</f>
        <v>381.39</v>
      </c>
      <c r="CE107">
        <f>377.009</f>
        <v>377.00900000000001</v>
      </c>
      <c r="CF107">
        <f>391.544</f>
        <v>391.54399999999998</v>
      </c>
      <c r="CG107">
        <f>380.633</f>
        <v>380.63299999999998</v>
      </c>
      <c r="CH107">
        <f>388.074</f>
        <v>388.07400000000001</v>
      </c>
      <c r="CI107">
        <f>338.565</f>
        <v>338.565</v>
      </c>
      <c r="CJ107">
        <f>321.212</f>
        <v>321.21199999999999</v>
      </c>
      <c r="CK107">
        <f>332.091</f>
        <v>332.09100000000001</v>
      </c>
      <c r="CL107">
        <f>342.382</f>
        <v>342.38200000000001</v>
      </c>
      <c r="CM107">
        <f>295.199</f>
        <v>295.19900000000001</v>
      </c>
      <c r="CN107">
        <f>304.136</f>
        <v>304.13600000000002</v>
      </c>
      <c r="CO107">
        <f>288.911</f>
        <v>288.911</v>
      </c>
      <c r="CP107">
        <f>267.023</f>
        <v>267.02300000000002</v>
      </c>
      <c r="CQ107">
        <f>252.948</f>
        <v>252.94800000000001</v>
      </c>
      <c r="CR107">
        <f>234.6</f>
        <v>234.6</v>
      </c>
      <c r="CS107">
        <f>206.448</f>
        <v>206.44800000000001</v>
      </c>
      <c r="CT107">
        <f>187.378</f>
        <v>187.37799999999999</v>
      </c>
      <c r="CU107">
        <f>166.148</f>
        <v>166.148</v>
      </c>
      <c r="CV107">
        <f>171.661</f>
        <v>171.661</v>
      </c>
      <c r="CW107">
        <f>175.551</f>
        <v>175.55099999999999</v>
      </c>
      <c r="CX107">
        <f>152.715</f>
        <v>152.715</v>
      </c>
      <c r="CY107">
        <f>121.78</f>
        <v>121.78</v>
      </c>
      <c r="CZ107">
        <f>126.853</f>
        <v>126.85299999999999</v>
      </c>
      <c r="DA107">
        <f>123.205</f>
        <v>123.205</v>
      </c>
      <c r="DB107">
        <f>0</f>
        <v>0</v>
      </c>
      <c r="DC107">
        <f>0</f>
        <v>0</v>
      </c>
      <c r="DD107">
        <f>1.135</f>
        <v>1.135</v>
      </c>
      <c r="DE107">
        <f>1.135</f>
        <v>1.135</v>
      </c>
      <c r="DF107">
        <f>1.802</f>
        <v>1.802</v>
      </c>
      <c r="DG107">
        <f>1.135</f>
        <v>1.135</v>
      </c>
      <c r="DH107">
        <f>1.802</f>
        <v>1.802</v>
      </c>
      <c r="DI107">
        <f t="shared" ref="DI107:DT107" si="15">1.135</f>
        <v>1.135</v>
      </c>
      <c r="DJ107">
        <f t="shared" si="15"/>
        <v>1.135</v>
      </c>
      <c r="DK107">
        <f t="shared" si="15"/>
        <v>1.135</v>
      </c>
      <c r="DL107">
        <f t="shared" si="15"/>
        <v>1.135</v>
      </c>
      <c r="DM107">
        <f t="shared" si="15"/>
        <v>1.135</v>
      </c>
      <c r="DN107">
        <f t="shared" si="15"/>
        <v>1.135</v>
      </c>
      <c r="DO107">
        <f t="shared" si="15"/>
        <v>1.135</v>
      </c>
      <c r="DP107">
        <f t="shared" si="15"/>
        <v>1.135</v>
      </c>
      <c r="DQ107">
        <f t="shared" si="15"/>
        <v>1.135</v>
      </c>
      <c r="DR107">
        <f t="shared" si="15"/>
        <v>1.135</v>
      </c>
      <c r="DS107">
        <f t="shared" si="15"/>
        <v>1.135</v>
      </c>
      <c r="DT107">
        <f t="shared" si="15"/>
        <v>1.135</v>
      </c>
      <c r="DU107" t="str">
        <f>""</f>
        <v/>
      </c>
    </row>
    <row r="108" spans="1:125" x14ac:dyDescent="0.25">
      <c r="A108" t="str">
        <f>"            Zions Bancorp NA"</f>
        <v xml:space="preserve">            Zions Bancorp NA</v>
      </c>
      <c r="B108" t="str">
        <f>"ZION US Equity"</f>
        <v>ZION US Equity</v>
      </c>
      <c r="C108" t="str">
        <f t="shared" si="12"/>
        <v>FR531</v>
      </c>
      <c r="D108" t="str">
        <f t="shared" si="13"/>
        <v>FED_INVT_IN_RE_VENTURES</v>
      </c>
      <c r="E108" t="str">
        <f t="shared" si="14"/>
        <v>Dynamic</v>
      </c>
      <c r="F108" t="str">
        <f ca="1">IF(AND(ISNUMBER($F$246),$B$145=1),$F$246,HLOOKUP(INDIRECT(ADDRESS(2,COLUMN())),OFFSET($BN$2,0,0,ROW()-1,60),ROW()-1,FALSE))</f>
        <v/>
      </c>
      <c r="G108" t="str">
        <f ca="1">IF(AND(ISNUMBER($G$246),$B$145=1),$G$246,HLOOKUP(INDIRECT(ADDRESS(2,COLUMN())),OFFSET($BN$2,0,0,ROW()-1,60),ROW()-1,FALSE))</f>
        <v/>
      </c>
      <c r="H108" t="str">
        <f ca="1">IF(AND(ISNUMBER($H$246),$B$145=1),$H$246,HLOOKUP(INDIRECT(ADDRESS(2,COLUMN())),OFFSET($BN$2,0,0,ROW()-1,60),ROW()-1,FALSE))</f>
        <v/>
      </c>
      <c r="I108" t="str">
        <f ca="1">IF(AND(ISNUMBER($I$246),$B$145=1),$I$246,HLOOKUP(INDIRECT(ADDRESS(2,COLUMN())),OFFSET($BN$2,0,0,ROW()-1,60),ROW()-1,FALSE))</f>
        <v/>
      </c>
      <c r="J108" t="str">
        <f ca="1">IF(AND(ISNUMBER($J$246),$B$145=1),$J$246,HLOOKUP(INDIRECT(ADDRESS(2,COLUMN())),OFFSET($BN$2,0,0,ROW()-1,60),ROW()-1,FALSE))</f>
        <v/>
      </c>
      <c r="K108" t="str">
        <f ca="1">IF(AND(ISNUMBER($K$246),$B$145=1),$K$246,HLOOKUP(INDIRECT(ADDRESS(2,COLUMN())),OFFSET($BN$2,0,0,ROW()-1,60),ROW()-1,FALSE))</f>
        <v/>
      </c>
      <c r="L108" t="str">
        <f ca="1">IF(AND(ISNUMBER($L$246),$B$145=1),$L$246,HLOOKUP(INDIRECT(ADDRESS(2,COLUMN())),OFFSET($BN$2,0,0,ROW()-1,60),ROW()-1,FALSE))</f>
        <v/>
      </c>
      <c r="M108" t="str">
        <f ca="1">IF(AND(ISNUMBER($M$246),$B$145=1),$M$246,HLOOKUP(INDIRECT(ADDRESS(2,COLUMN())),OFFSET($BN$2,0,0,ROW()-1,60),ROW()-1,FALSE))</f>
        <v/>
      </c>
      <c r="N108" t="str">
        <f ca="1">IF(AND(ISNUMBER($N$246),$B$145=1),$N$246,HLOOKUP(INDIRECT(ADDRESS(2,COLUMN())),OFFSET($BN$2,0,0,ROW()-1,60),ROW()-1,FALSE))</f>
        <v/>
      </c>
      <c r="O108" t="str">
        <f ca="1">IF(AND(ISNUMBER($O$246),$B$145=1),$O$246,HLOOKUP(INDIRECT(ADDRESS(2,COLUMN())),OFFSET($BN$2,0,0,ROW()-1,60),ROW()-1,FALSE))</f>
        <v/>
      </c>
      <c r="P108" t="str">
        <f ca="1">IF(AND(ISNUMBER($P$246),$B$145=1),$P$246,HLOOKUP(INDIRECT(ADDRESS(2,COLUMN())),OFFSET($BN$2,0,0,ROW()-1,60),ROW()-1,FALSE))</f>
        <v/>
      </c>
      <c r="Q108" t="str">
        <f ca="1">IF(AND(ISNUMBER($Q$246),$B$145=1),$Q$246,HLOOKUP(INDIRECT(ADDRESS(2,COLUMN())),OFFSET($BN$2,0,0,ROW()-1,60),ROW()-1,FALSE))</f>
        <v/>
      </c>
      <c r="R108" t="str">
        <f ca="1">IF(AND(ISNUMBER($R$246),$B$145=1),$R$246,HLOOKUP(INDIRECT(ADDRESS(2,COLUMN())),OFFSET($BN$2,0,0,ROW()-1,60),ROW()-1,FALSE))</f>
        <v/>
      </c>
      <c r="S108" t="str">
        <f ca="1">IF(AND(ISNUMBER($S$246),$B$145=1),$S$246,HLOOKUP(INDIRECT(ADDRESS(2,COLUMN())),OFFSET($BN$2,0,0,ROW()-1,60),ROW()-1,FALSE))</f>
        <v/>
      </c>
      <c r="T108" t="str">
        <f ca="1">IF(AND(ISNUMBER($T$246),$B$145=1),$T$246,HLOOKUP(INDIRECT(ADDRESS(2,COLUMN())),OFFSET($BN$2,0,0,ROW()-1,60),ROW()-1,FALSE))</f>
        <v/>
      </c>
      <c r="U108" t="str">
        <f ca="1">IF(AND(ISNUMBER($U$246),$B$145=1),$U$246,HLOOKUP(INDIRECT(ADDRESS(2,COLUMN())),OFFSET($BN$2,0,0,ROW()-1,60),ROW()-1,FALSE))</f>
        <v/>
      </c>
      <c r="V108" t="str">
        <f ca="1">IF(AND(ISNUMBER($V$246),$B$145=1),$V$246,HLOOKUP(INDIRECT(ADDRESS(2,COLUMN())),OFFSET($BN$2,0,0,ROW()-1,60),ROW()-1,FALSE))</f>
        <v/>
      </c>
      <c r="W108" t="str">
        <f ca="1">IF(AND(ISNUMBER($W$246),$B$145=1),$W$246,HLOOKUP(INDIRECT(ADDRESS(2,COLUMN())),OFFSET($BN$2,0,0,ROW()-1,60),ROW()-1,FALSE))</f>
        <v/>
      </c>
      <c r="X108" t="str">
        <f ca="1">IF(AND(ISNUMBER($X$246),$B$145=1),$X$246,HLOOKUP(INDIRECT(ADDRESS(2,COLUMN())),OFFSET($BN$2,0,0,ROW()-1,60),ROW()-1,FALSE))</f>
        <v/>
      </c>
      <c r="Y108" t="str">
        <f ca="1">IF(AND(ISNUMBER($Y$246),$B$145=1),$Y$246,HLOOKUP(INDIRECT(ADDRESS(2,COLUMN())),OFFSET($BN$2,0,0,ROW()-1,60),ROW()-1,FALSE))</f>
        <v/>
      </c>
      <c r="Z108" t="str">
        <f ca="1">IF(AND(ISNUMBER($Z$246),$B$145=1),$Z$246,HLOOKUP(INDIRECT(ADDRESS(2,COLUMN())),OFFSET($BN$2,0,0,ROW()-1,60),ROW()-1,FALSE))</f>
        <v/>
      </c>
      <c r="AA108" t="str">
        <f ca="1">IF(AND(ISNUMBER($AA$246),$B$145=1),$AA$246,HLOOKUP(INDIRECT(ADDRESS(2,COLUMN())),OFFSET($BN$2,0,0,ROW()-1,60),ROW()-1,FALSE))</f>
        <v/>
      </c>
      <c r="AB108" t="str">
        <f ca="1">IF(AND(ISNUMBER($AB$246),$B$145=1),$AB$246,HLOOKUP(INDIRECT(ADDRESS(2,COLUMN())),OFFSET($BN$2,0,0,ROW()-1,60),ROW()-1,FALSE))</f>
        <v/>
      </c>
      <c r="AC108" t="str">
        <f ca="1">IF(AND(ISNUMBER($AC$246),$B$145=1),$AC$246,HLOOKUP(INDIRECT(ADDRESS(2,COLUMN())),OFFSET($BN$2,0,0,ROW()-1,60),ROW()-1,FALSE))</f>
        <v/>
      </c>
      <c r="AD108" t="str">
        <f ca="1">IF(AND(ISNUMBER($AD$246),$B$145=1),$AD$246,HLOOKUP(INDIRECT(ADDRESS(2,COLUMN())),OFFSET($BN$2,0,0,ROW()-1,60),ROW()-1,FALSE))</f>
        <v/>
      </c>
      <c r="AE108" t="str">
        <f ca="1">IF(AND(ISNUMBER($AE$246),$B$145=1),$AE$246,HLOOKUP(INDIRECT(ADDRESS(2,COLUMN())),OFFSET($BN$2,0,0,ROW()-1,60),ROW()-1,FALSE))</f>
        <v/>
      </c>
      <c r="AF108" t="str">
        <f ca="1">IF(AND(ISNUMBER($AF$246),$B$145=1),$AF$246,HLOOKUP(INDIRECT(ADDRESS(2,COLUMN())),OFFSET($BN$2,0,0,ROW()-1,60),ROW()-1,FALSE))</f>
        <v/>
      </c>
      <c r="AG108" t="str">
        <f ca="1">IF(AND(ISNUMBER($AG$246),$B$145=1),$AG$246,HLOOKUP(INDIRECT(ADDRESS(2,COLUMN())),OFFSET($BN$2,0,0,ROW()-1,60),ROW()-1,FALSE))</f>
        <v/>
      </c>
      <c r="AH108" t="str">
        <f ca="1">IF(AND(ISNUMBER($AH$246),$B$145=1),$AH$246,HLOOKUP(INDIRECT(ADDRESS(2,COLUMN())),OFFSET($BN$2,0,0,ROW()-1,60),ROW()-1,FALSE))</f>
        <v/>
      </c>
      <c r="AI108" t="str">
        <f ca="1">IF(AND(ISNUMBER($AI$246),$B$145=1),$AI$246,HLOOKUP(INDIRECT(ADDRESS(2,COLUMN())),OFFSET($BN$2,0,0,ROW()-1,60),ROW()-1,FALSE))</f>
        <v/>
      </c>
      <c r="AJ108" t="str">
        <f ca="1">IF(AND(ISNUMBER($AJ$246),$B$145=1),$AJ$246,HLOOKUP(INDIRECT(ADDRESS(2,COLUMN())),OFFSET($BN$2,0,0,ROW()-1,60),ROW()-1,FALSE))</f>
        <v/>
      </c>
      <c r="AK108" t="str">
        <f ca="1">IF(AND(ISNUMBER($AK$246),$B$145=1),$AK$246,HLOOKUP(INDIRECT(ADDRESS(2,COLUMN())),OFFSET($BN$2,0,0,ROW()-1,60),ROW()-1,FALSE))</f>
        <v/>
      </c>
      <c r="AL108" t="str">
        <f ca="1">IF(AND(ISNUMBER($AL$246),$B$145=1),$AL$246,HLOOKUP(INDIRECT(ADDRESS(2,COLUMN())),OFFSET($BN$2,0,0,ROW()-1,60),ROW()-1,FALSE))</f>
        <v/>
      </c>
      <c r="AM108" t="str">
        <f ca="1">IF(AND(ISNUMBER($AM$246),$B$145=1),$AM$246,HLOOKUP(INDIRECT(ADDRESS(2,COLUMN())),OFFSET($BN$2,0,0,ROW()-1,60),ROW()-1,FALSE))</f>
        <v/>
      </c>
      <c r="AN108" t="str">
        <f ca="1">IF(AND(ISNUMBER($AN$246),$B$145=1),$AN$246,HLOOKUP(INDIRECT(ADDRESS(2,COLUMN())),OFFSET($BN$2,0,0,ROW()-1,60),ROW()-1,FALSE))</f>
        <v/>
      </c>
      <c r="AO108" t="str">
        <f ca="1">IF(AND(ISNUMBER($AO$246),$B$145=1),$AO$246,HLOOKUP(INDIRECT(ADDRESS(2,COLUMN())),OFFSET($BN$2,0,0,ROW()-1,60),ROW()-1,FALSE))</f>
        <v/>
      </c>
      <c r="AP108" t="str">
        <f ca="1">IF(AND(ISNUMBER($AP$246),$B$145=1),$AP$246,HLOOKUP(INDIRECT(ADDRESS(2,COLUMN())),OFFSET($BN$2,0,0,ROW()-1,60),ROW()-1,FALSE))</f>
        <v/>
      </c>
      <c r="AQ108" t="str">
        <f ca="1">IF(AND(ISNUMBER($AQ$246),$B$145=1),$AQ$246,HLOOKUP(INDIRECT(ADDRESS(2,COLUMN())),OFFSET($BN$2,0,0,ROW()-1,60),ROW()-1,FALSE))</f>
        <v/>
      </c>
      <c r="AR108" t="str">
        <f ca="1">IF(AND(ISNUMBER($AR$246),$B$145=1),$AR$246,HLOOKUP(INDIRECT(ADDRESS(2,COLUMN())),OFFSET($BN$2,0,0,ROW()-1,60),ROW()-1,FALSE))</f>
        <v/>
      </c>
      <c r="AS108" t="str">
        <f ca="1">IF(AND(ISNUMBER($AS$246),$B$145=1),$AS$246,HLOOKUP(INDIRECT(ADDRESS(2,COLUMN())),OFFSET($BN$2,0,0,ROW()-1,60),ROW()-1,FALSE))</f>
        <v/>
      </c>
      <c r="AT108" t="str">
        <f ca="1">IF(AND(ISNUMBER($AT$246),$B$145=1),$AT$246,HLOOKUP(INDIRECT(ADDRESS(2,COLUMN())),OFFSET($BN$2,0,0,ROW()-1,60),ROW()-1,FALSE))</f>
        <v/>
      </c>
      <c r="AU108" t="str">
        <f ca="1">IF(AND(ISNUMBER($AU$246),$B$145=1),$AU$246,HLOOKUP(INDIRECT(ADDRESS(2,COLUMN())),OFFSET($BN$2,0,0,ROW()-1,60),ROW()-1,FALSE))</f>
        <v/>
      </c>
      <c r="AV108" t="str">
        <f ca="1">IF(AND(ISNUMBER($AV$246),$B$145=1),$AV$246,HLOOKUP(INDIRECT(ADDRESS(2,COLUMN())),OFFSET($BN$2,0,0,ROW()-1,60),ROW()-1,FALSE))</f>
        <v/>
      </c>
      <c r="AW108" t="str">
        <f ca="1">IF(AND(ISNUMBER($AW$246),$B$145=1),$AW$246,HLOOKUP(INDIRECT(ADDRESS(2,COLUMN())),OFFSET($BN$2,0,0,ROW()-1,60),ROW()-1,FALSE))</f>
        <v/>
      </c>
      <c r="AX108" t="str">
        <f ca="1">IF(AND(ISNUMBER($AX$246),$B$145=1),$AX$246,HLOOKUP(INDIRECT(ADDRESS(2,COLUMN())),OFFSET($BN$2,0,0,ROW()-1,60),ROW()-1,FALSE))</f>
        <v/>
      </c>
      <c r="AY108" t="str">
        <f ca="1">IF(AND(ISNUMBER($AY$246),$B$145=1),$AY$246,HLOOKUP(INDIRECT(ADDRESS(2,COLUMN())),OFFSET($BN$2,0,0,ROW()-1,60),ROW()-1,FALSE))</f>
        <v/>
      </c>
      <c r="AZ108" t="str">
        <f ca="1">IF(AND(ISNUMBER($AZ$246),$B$145=1),$AZ$246,HLOOKUP(INDIRECT(ADDRESS(2,COLUMN())),OFFSET($BN$2,0,0,ROW()-1,60),ROW()-1,FALSE))</f>
        <v/>
      </c>
      <c r="BA108" t="str">
        <f ca="1">IF(AND(ISNUMBER($BA$246),$B$145=1),$BA$246,HLOOKUP(INDIRECT(ADDRESS(2,COLUMN())),OFFSET($BN$2,0,0,ROW()-1,60),ROW()-1,FALSE))</f>
        <v/>
      </c>
      <c r="BB108" t="str">
        <f ca="1">IF(AND(ISNUMBER($BB$246),$B$145=1),$BB$246,HLOOKUP(INDIRECT(ADDRESS(2,COLUMN())),OFFSET($BN$2,0,0,ROW()-1,60),ROW()-1,FALSE))</f>
        <v/>
      </c>
      <c r="BC108" t="str">
        <f ca="1">IF(AND(ISNUMBER($BC$246),$B$145=1),$BC$246,HLOOKUP(INDIRECT(ADDRESS(2,COLUMN())),OFFSET($BN$2,0,0,ROW()-1,60),ROW()-1,FALSE))</f>
        <v/>
      </c>
      <c r="BD108" t="str">
        <f ca="1">IF(AND(ISNUMBER($BD$246),$B$145=1),$BD$246,HLOOKUP(INDIRECT(ADDRESS(2,COLUMN())),OFFSET($BN$2,0,0,ROW()-1,60),ROW()-1,FALSE))</f>
        <v/>
      </c>
      <c r="BE108" t="str">
        <f ca="1">IF(AND(ISNUMBER($BE$246),$B$145=1),$BE$246,HLOOKUP(INDIRECT(ADDRESS(2,COLUMN())),OFFSET($BN$2,0,0,ROW()-1,60),ROW()-1,FALSE))</f>
        <v/>
      </c>
      <c r="BF108" t="str">
        <f ca="1">IF(AND(ISNUMBER($BF$246),$B$145=1),$BF$246,HLOOKUP(INDIRECT(ADDRESS(2,COLUMN())),OFFSET($BN$2,0,0,ROW()-1,60),ROW()-1,FALSE))</f>
        <v/>
      </c>
      <c r="BG108" t="str">
        <f ca="1">IF(AND(ISNUMBER($BG$246),$B$145=1),$BG$246,HLOOKUP(INDIRECT(ADDRESS(2,COLUMN())),OFFSET($BN$2,0,0,ROW()-1,60),ROW()-1,FALSE))</f>
        <v/>
      </c>
      <c r="BH108" t="str">
        <f ca="1">IF(AND(ISNUMBER($BH$246),$B$145=1),$BH$246,HLOOKUP(INDIRECT(ADDRESS(2,COLUMN())),OFFSET($BN$2,0,0,ROW()-1,60),ROW()-1,FALSE))</f>
        <v/>
      </c>
      <c r="BI108" t="str">
        <f ca="1">IF(AND(ISNUMBER($BI$246),$B$145=1),$BI$246,HLOOKUP(INDIRECT(ADDRESS(2,COLUMN())),OFFSET($BN$2,0,0,ROW()-1,60),ROW()-1,FALSE))</f>
        <v/>
      </c>
      <c r="BJ108" t="str">
        <f ca="1">IF(AND(ISNUMBER($BJ$246),$B$145=1),$BJ$246,HLOOKUP(INDIRECT(ADDRESS(2,COLUMN())),OFFSET($BN$2,0,0,ROW()-1,60),ROW()-1,FALSE))</f>
        <v/>
      </c>
      <c r="BK108" t="str">
        <f ca="1">IF(AND(ISNUMBER($BK$246),$B$145=1),$BK$246,HLOOKUP(INDIRECT(ADDRESS(2,COLUMN())),OFFSET($BN$2,0,0,ROW()-1,60),ROW()-1,FALSE))</f>
        <v/>
      </c>
      <c r="BL108" t="str">
        <f ca="1">IF(AND(ISNUMBER($BL$246),$B$145=1),$BL$246,HLOOKUP(INDIRECT(ADDRESS(2,COLUMN())),OFFSET($BN$2,0,0,ROW()-1,60),ROW()-1,FALSE))</f>
        <v/>
      </c>
      <c r="BM108" t="str">
        <f ca="1">IF(AND(ISNUMBER($BM$246),$B$145=1),$BM$246,HLOOKUP(INDIRECT(ADDRESS(2,COLUMN())),OFFSET($BN$2,0,0,ROW()-1,60),ROW()-1,FALSE))</f>
        <v/>
      </c>
      <c r="BN108" t="str">
        <f>""</f>
        <v/>
      </c>
      <c r="BO108" t="str">
        <f>""</f>
        <v/>
      </c>
      <c r="BP108" t="str">
        <f>""</f>
        <v/>
      </c>
      <c r="BQ108" t="str">
        <f>""</f>
        <v/>
      </c>
      <c r="BR108" t="str">
        <f>""</f>
        <v/>
      </c>
      <c r="BS108" t="str">
        <f>""</f>
        <v/>
      </c>
      <c r="BT108" t="str">
        <f>""</f>
        <v/>
      </c>
      <c r="BU108" t="str">
        <f>""</f>
        <v/>
      </c>
      <c r="BV108" t="str">
        <f>""</f>
        <v/>
      </c>
      <c r="BW108" t="str">
        <f>""</f>
        <v/>
      </c>
      <c r="BX108" t="str">
        <f>""</f>
        <v/>
      </c>
      <c r="BY108" t="str">
        <f>""</f>
        <v/>
      </c>
      <c r="BZ108" t="str">
        <f>""</f>
        <v/>
      </c>
      <c r="CA108" t="str">
        <f>""</f>
        <v/>
      </c>
      <c r="CB108" t="str">
        <f>""</f>
        <v/>
      </c>
      <c r="CC108" t="str">
        <f>""</f>
        <v/>
      </c>
      <c r="CD108" t="str">
        <f>""</f>
        <v/>
      </c>
      <c r="CE108" t="str">
        <f>""</f>
        <v/>
      </c>
      <c r="CF108" t="str">
        <f>""</f>
        <v/>
      </c>
      <c r="CG108" t="str">
        <f>""</f>
        <v/>
      </c>
      <c r="CH108" t="str">
        <f>""</f>
        <v/>
      </c>
      <c r="CI108" t="str">
        <f>""</f>
        <v/>
      </c>
      <c r="CJ108" t="str">
        <f>""</f>
        <v/>
      </c>
      <c r="CK108" t="str">
        <f>""</f>
        <v/>
      </c>
      <c r="CL108" t="str">
        <f>""</f>
        <v/>
      </c>
      <c r="CM108" t="str">
        <f>""</f>
        <v/>
      </c>
      <c r="CN108" t="str">
        <f>""</f>
        <v/>
      </c>
      <c r="CO108" t="str">
        <f>""</f>
        <v/>
      </c>
      <c r="CP108" t="str">
        <f>""</f>
        <v/>
      </c>
      <c r="CQ108" t="str">
        <f>""</f>
        <v/>
      </c>
      <c r="CR108" t="str">
        <f>""</f>
        <v/>
      </c>
      <c r="CS108" t="str">
        <f>""</f>
        <v/>
      </c>
      <c r="CT108" t="str">
        <f>""</f>
        <v/>
      </c>
      <c r="CU108" t="str">
        <f>""</f>
        <v/>
      </c>
      <c r="CV108" t="str">
        <f>""</f>
        <v/>
      </c>
      <c r="CW108" t="str">
        <f>""</f>
        <v/>
      </c>
      <c r="CX108" t="str">
        <f>""</f>
        <v/>
      </c>
      <c r="CY108" t="str">
        <f>""</f>
        <v/>
      </c>
      <c r="CZ108" t="str">
        <f>""</f>
        <v/>
      </c>
      <c r="DA108" t="str">
        <f>""</f>
        <v/>
      </c>
      <c r="DB108" t="str">
        <f>""</f>
        <v/>
      </c>
      <c r="DC108" t="str">
        <f>""</f>
        <v/>
      </c>
      <c r="DD108" t="str">
        <f>""</f>
        <v/>
      </c>
      <c r="DE108" t="str">
        <f>""</f>
        <v/>
      </c>
      <c r="DF108" t="str">
        <f>""</f>
        <v/>
      </c>
      <c r="DG108" t="str">
        <f>""</f>
        <v/>
      </c>
      <c r="DH108" t="str">
        <f>""</f>
        <v/>
      </c>
      <c r="DI108" t="str">
        <f>""</f>
        <v/>
      </c>
      <c r="DJ108" t="str">
        <f>""</f>
        <v/>
      </c>
      <c r="DK108" t="str">
        <f>""</f>
        <v/>
      </c>
      <c r="DL108" t="str">
        <f>""</f>
        <v/>
      </c>
      <c r="DM108" t="str">
        <f>""</f>
        <v/>
      </c>
      <c r="DN108" t="str">
        <f>""</f>
        <v/>
      </c>
      <c r="DO108" t="str">
        <f>""</f>
        <v/>
      </c>
      <c r="DP108" t="str">
        <f>""</f>
        <v/>
      </c>
      <c r="DQ108" t="str">
        <f>""</f>
        <v/>
      </c>
      <c r="DR108" t="str">
        <f>""</f>
        <v/>
      </c>
      <c r="DS108" t="str">
        <f>""</f>
        <v/>
      </c>
      <c r="DT108" t="str">
        <f>""</f>
        <v/>
      </c>
      <c r="DU108" t="str">
        <f>""</f>
        <v/>
      </c>
    </row>
    <row r="109" spans="1:125" x14ac:dyDescent="0.25">
      <c r="A109" t="str">
        <f>"Balance Sheet - Assets - Total Assets By Company"</f>
        <v>Balance Sheet - Assets - Total Assets By Company</v>
      </c>
      <c r="B109" t="str">
        <f>""</f>
        <v/>
      </c>
      <c r="E109" t="str">
        <f>"Sum"</f>
        <v>Sum</v>
      </c>
      <c r="F109">
        <f ca="1">IF(ISERROR(IF(SUM($F$110:$F$129) = 0, "", SUM($F$110:$F$129))), "", (IF(SUM($F$110:$F$129) = 0, "", SUM($F$110:$F$129))))</f>
        <v>14582067.445</v>
      </c>
      <c r="G109">
        <f ca="1">IF(ISERROR(IF(SUM($G$110:$G$129) = 0, "", SUM($G$110:$G$129))), "", (IF(SUM($G$110:$G$129) = 0, "", SUM($G$110:$G$129))))</f>
        <v>15192931.455000002</v>
      </c>
      <c r="H109">
        <f ca="1">IF(ISERROR(IF(SUM($H$110:$H$129) = 0, "", SUM($H$110:$H$129))), "", (IF(SUM($H$110:$H$129) = 0, "", SUM($H$110:$H$129))))</f>
        <v>15823232.166000001</v>
      </c>
      <c r="I109">
        <f ca="1">IF(ISERROR(IF(SUM($I$110:$I$129) = 0, "", SUM($I$110:$I$129))), "", (IF(SUM($I$110:$I$129) = 0, "", SUM($I$110:$I$129))))</f>
        <v>15854787.420000002</v>
      </c>
      <c r="J109">
        <f ca="1">IF(ISERROR(IF(SUM($J$110:$J$129) = 0, "", SUM($J$110:$J$129))), "", (IF(SUM($J$110:$J$129) = 0, "", SUM($J$110:$J$129))))</f>
        <v>15455937.979999999</v>
      </c>
      <c r="K109">
        <f ca="1">IF(ISERROR(IF(SUM($K$110:$K$129) = 0, "", SUM($K$110:$K$129))), "", (IF(SUM($K$110:$K$129) = 0, "", SUM($K$110:$K$129))))</f>
        <v>15382900.509</v>
      </c>
      <c r="L109">
        <f ca="1">IF(ISERROR(IF(SUM($L$110:$L$129) = 0, "", SUM($L$110:$L$129))), "", (IF(SUM($L$110:$L$129) = 0, "", SUM($L$110:$L$129))))</f>
        <v>15374071.734999999</v>
      </c>
      <c r="M109">
        <f ca="1">IF(ISERROR(IF(SUM($M$110:$M$129) = 0, "", SUM($M$110:$M$129))), "", (IF(SUM($M$110:$M$129) = 0, "", SUM($M$110:$M$129))))</f>
        <v>15402753.227999998</v>
      </c>
      <c r="N109">
        <f ca="1">IF(ISERROR(IF(SUM($N$110:$N$129) = 0, "", SUM($N$110:$N$129))), "", (IF(SUM($N$110:$N$129) = 0, "", SUM($N$110:$N$129))))</f>
        <v>14927453.548</v>
      </c>
      <c r="O109">
        <f ca="1">IF(ISERROR(IF(SUM($O$110:$O$129) = 0, "", SUM($O$110:$O$129))), "", (IF(SUM($O$110:$O$129) = 0, "", SUM($O$110:$O$129))))</f>
        <v>14891745.513999999</v>
      </c>
      <c r="P109">
        <f ca="1">IF(ISERROR(IF(SUM($P$110:$P$129) = 0, "", SUM($P$110:$P$129))), "", (IF(SUM($P$110:$P$129) = 0, "", SUM($P$110:$P$129))))</f>
        <v>14972081.433</v>
      </c>
      <c r="Q109">
        <f ca="1">IF(ISERROR(IF(SUM($Q$110:$Q$129) = 0, "", SUM($Q$110:$Q$129))), "", (IF(SUM($Q$110:$Q$129) = 0, "", SUM($Q$110:$Q$129))))</f>
        <v>15182198.181</v>
      </c>
      <c r="R109">
        <f ca="1">IF(ISERROR(IF(SUM($R$110:$R$129) = 0, "", SUM($R$110:$R$129))), "", (IF(SUM($R$110:$R$129) = 0, "", SUM($R$110:$R$129))))</f>
        <v>14758451.059999999</v>
      </c>
      <c r="S109">
        <f ca="1">IF(ISERROR(IF(SUM($S$110:$S$129) = 0, "", SUM($S$110:$S$129))), "", (IF(SUM($S$110:$S$129) = 0, "", SUM($S$110:$S$129))))</f>
        <v>14713193.786999999</v>
      </c>
      <c r="T109">
        <f ca="1">IF(ISERROR(IF(SUM($T$110:$T$129) = 0, "", SUM($T$110:$T$129))), "", (IF(SUM($T$110:$T$129) = 0, "", SUM($T$110:$T$129))))</f>
        <v>14498325.157999998</v>
      </c>
      <c r="U109">
        <f ca="1">IF(ISERROR(IF(SUM($U$110:$U$129) = 0, "", SUM($U$110:$U$129))), "", (IF(SUM($U$110:$U$129) = 0, "", SUM($U$110:$U$129))))</f>
        <v>14287758.228000002</v>
      </c>
      <c r="V109">
        <f ca="1">IF(ISERROR(IF(SUM($V$110:$V$129) = 0, "", SUM($V$110:$V$129))), "", (IF(SUM($V$110:$V$129) = 0, "", SUM($V$110:$V$129))))</f>
        <v>13628769.015999999</v>
      </c>
      <c r="W109">
        <f ca="1">IF(ISERROR(IF(SUM($W$110:$W$129) = 0, "", SUM($W$110:$W$129))), "", (IF(SUM($W$110:$W$129) = 0, "", SUM($W$110:$W$129))))</f>
        <v>13293697.301000001</v>
      </c>
      <c r="X109">
        <f ca="1">IF(ISERROR(IF(SUM($X$110:$X$129) = 0, "", SUM($X$110:$X$129))), "", (IF(SUM($X$110:$X$129) = 0, "", SUM($X$110:$X$129))))</f>
        <v>13314311.524</v>
      </c>
      <c r="Y109">
        <f ca="1">IF(ISERROR(IF(SUM($Y$110:$Y$129) = 0, "", SUM($Y$110:$Y$129))), "", (IF(SUM($Y$110:$Y$129) = 0, "", SUM($Y$110:$Y$129))))</f>
        <v>12992795.968000002</v>
      </c>
      <c r="Z109">
        <f ca="1">IF(ISERROR(IF(SUM($Z$110:$Z$129) = 0, "", SUM($Z$110:$Z$129))), "", (IF(SUM($Z$110:$Z$129) = 0, "", SUM($Z$110:$Z$129))))</f>
        <v>11843951.777000001</v>
      </c>
      <c r="AA109">
        <f ca="1">IF(ISERROR(IF(SUM($AA$110:$AA$129) = 0, "", SUM($AA$110:$AA$129))), "", (IF(SUM($AA$110:$AA$129) = 0, "", SUM($AA$110:$AA$129))))</f>
        <v>11740994.093</v>
      </c>
      <c r="AB109">
        <f ca="1">IF(ISERROR(IF(SUM($AB$110:$AB$129) = 0, "", SUM($AB$110:$AB$129))), "", (IF(SUM($AB$110:$AB$129) = 0, "", SUM($AB$110:$AB$129))))</f>
        <v>11593714.780999999</v>
      </c>
      <c r="AC109">
        <f ca="1">IF(ISERROR(IF(SUM($AC$110:$AC$129) = 0, "", SUM($AC$110:$AC$129))), "", (IF(SUM($AC$110:$AC$129) = 0, "", SUM($AC$110:$AC$129))))</f>
        <v>11483879.949000001</v>
      </c>
      <c r="AD109">
        <f ca="1">IF(ISERROR(IF(SUM($AD$110:$AD$129) = 0, "", SUM($AD$110:$AD$129))), "", (IF(SUM($AD$110:$AD$129) = 0, "", SUM($AD$110:$AD$129))))</f>
        <v>11262844.914999999</v>
      </c>
      <c r="AE109">
        <f ca="1">IF(ISERROR(IF(SUM($AE$110:$AE$129) = 0, "", SUM($AE$110:$AE$129))), "", (IF(SUM($AE$110:$AE$129) = 0, "", SUM($AE$110:$AE$129))))</f>
        <v>11189120.515999997</v>
      </c>
      <c r="AF109">
        <f ca="1">IF(ISERROR(IF(SUM($AF$110:$AF$129) = 0, "", SUM($AF$110:$AF$129))), "", (IF(SUM($AF$110:$AF$129) = 0, "", SUM($AF$110:$AF$129))))</f>
        <v>11103211.761</v>
      </c>
      <c r="AG109">
        <f ca="1">IF(ISERROR(IF(SUM($AG$110:$AG$129) = 0, "", SUM($AG$110:$AG$129))), "", (IF(SUM($AG$110:$AG$129) = 0, "", SUM($AG$110:$AG$129))))</f>
        <v>11193201.498</v>
      </c>
      <c r="AH109">
        <f ca="1">IF(ISERROR(IF(SUM($AH$110:$AH$129) = 0, "", SUM($AH$110:$AH$129))), "", (IF(SUM($AH$110:$AH$129) = 0, "", SUM($AH$110:$AH$129))))</f>
        <v>11033276.486000001</v>
      </c>
      <c r="AI109">
        <f ca="1">IF(ISERROR(IF(SUM($AI$110:$AI$129) = 0, "", SUM($AI$110:$AI$129))), "", (IF(SUM($AI$110:$AI$129) = 0, "", SUM($AI$110:$AI$129))))</f>
        <v>11077060.536</v>
      </c>
      <c r="AJ109">
        <f ca="1">IF(ISERROR(IF(SUM($AJ$110:$AJ$129) = 0, "", SUM($AJ$110:$AJ$129))), "", (IF(SUM($AJ$110:$AJ$129) = 0, "", SUM($AJ$110:$AJ$129))))</f>
        <v>11008212.080999998</v>
      </c>
      <c r="AK109">
        <f ca="1">IF(ISERROR(IF(SUM($AK$110:$AK$129) = 0, "", SUM($AK$110:$AK$129))), "", (IF(SUM($AK$110:$AK$129) = 0, "", SUM($AK$110:$AK$129))))</f>
        <v>10941739.223999999</v>
      </c>
      <c r="AL109">
        <f ca="1">IF(ISERROR(IF(SUM($AL$110:$AL$129) = 0, "", SUM($AL$110:$AL$129))), "", (IF(SUM($AL$110:$AL$129) = 0, "", SUM($AL$110:$AL$129))))</f>
        <v>10777128.691</v>
      </c>
      <c r="AM109">
        <f ca="1">IF(ISERROR(IF(SUM($AM$110:$AM$129) = 0, "", SUM($AM$110:$AM$129))), "", (IF(SUM($AM$110:$AM$129) = 0, "", SUM($AM$110:$AM$129))))</f>
        <v>10858546.179000001</v>
      </c>
      <c r="AN109">
        <f ca="1">IF(ISERROR(IF(SUM($AN$110:$AN$129) = 0, "", SUM($AN$110:$AN$129))), "", (IF(SUM($AN$110:$AN$129) = 0, "", SUM($AN$110:$AN$129))))</f>
        <v>10642151.630000003</v>
      </c>
      <c r="AO109">
        <f ca="1">IF(ISERROR(IF(SUM($AO$110:$AO$129) = 0, "", SUM($AO$110:$AO$129))), "", (IF(SUM($AO$110:$AO$129) = 0, "", SUM($AO$110:$AO$129))))</f>
        <v>10497937.702</v>
      </c>
      <c r="AP109">
        <f ca="1">IF(ISERROR(IF(SUM($AP$110:$AP$129) = 0, "", SUM($AP$110:$AP$129))), "", (IF(SUM($AP$110:$AP$129) = 0, "", SUM($AP$110:$AP$129))))</f>
        <v>10237997.619000001</v>
      </c>
      <c r="AQ109">
        <f ca="1">IF(ISERROR(IF(SUM($AQ$110:$AQ$129) = 0, "", SUM($AQ$110:$AQ$129))), "", (IF(SUM($AQ$110:$AQ$129) = 0, "", SUM($AQ$110:$AQ$129))))</f>
        <v>10294688.568</v>
      </c>
      <c r="AR109">
        <f ca="1">IF(ISERROR(IF(SUM($AR$110:$AR$129) = 0, "", SUM($AR$110:$AR$129))), "", (IF(SUM($AR$110:$AR$129) = 0, "", SUM($AR$110:$AR$129))))</f>
        <v>10279916.689999999</v>
      </c>
      <c r="AS109">
        <f ca="1">IF(ISERROR(IF(SUM($AS$110:$AS$129) = 0, "", SUM($AS$110:$AS$129))), "", (IF(SUM($AS$110:$AS$129) = 0, "", SUM($AS$110:$AS$129))))</f>
        <v>10399092.23</v>
      </c>
      <c r="AT109">
        <f ca="1">IF(ISERROR(IF(SUM($AT$110:$AT$129) = 0, "", SUM($AT$110:$AT$129))), "", (IF(SUM($AT$110:$AT$129) = 0, "", SUM($AT$110:$AT$129))))</f>
        <v>10288810.895</v>
      </c>
      <c r="AU109">
        <f ca="1">IF(ISERROR(IF(SUM($AU$110:$AU$129) = 0, "", SUM($AU$110:$AU$129))), "", (IF(SUM($AU$110:$AU$129) = 0, "", SUM($AU$110:$AU$129))))</f>
        <v>10200996.022</v>
      </c>
      <c r="AV109">
        <f ca="1">IF(ISERROR(IF(SUM($AV$110:$AV$129) = 0, "", SUM($AV$110:$AV$129))), "", (IF(SUM($AV$110:$AV$129) = 0, "", SUM($AV$110:$AV$129))))</f>
        <v>10206265.545</v>
      </c>
      <c r="AW109">
        <f ca="1">IF(ISERROR(IF(SUM($AW$110:$AW$129) = 0, "", SUM($AW$110:$AW$129))), "", (IF(SUM($AW$110:$AW$129) = 0, "", SUM($AW$110:$AW$129))))</f>
        <v>10029769.715</v>
      </c>
      <c r="AX109">
        <f ca="1">IF(ISERROR(IF(SUM($AX$110:$AX$129) = 0, "", SUM($AX$110:$AX$129))), "", (IF(SUM($AX$110:$AX$129) = 0, "", SUM($AX$110:$AX$129))))</f>
        <v>9868264.652999999</v>
      </c>
      <c r="AY109">
        <f ca="1">IF(ISERROR(IF(SUM($AY$110:$AY$129) = 0, "", SUM($AY$110:$AY$129))), "", (IF(SUM($AY$110:$AY$129) = 0, "", SUM($AY$110:$AY$129))))</f>
        <v>9881296.591</v>
      </c>
      <c r="AZ109">
        <f ca="1">IF(ISERROR(IF(SUM($AZ$110:$AZ$129) = 0, "", SUM($AZ$110:$AZ$129))), "", (IF(SUM($AZ$110:$AZ$129) = 0, "", SUM($AZ$110:$AZ$129))))</f>
        <v>9777996.7740000002</v>
      </c>
      <c r="BA109">
        <f ca="1">IF(ISERROR(IF(SUM($BA$110:$BA$129) = 0, "", SUM($BA$110:$BA$129))), "", (IF(SUM($BA$110:$BA$129) = 0, "", SUM($BA$110:$BA$129))))</f>
        <v>9779709.6300000008</v>
      </c>
      <c r="BB109">
        <f ca="1">IF(ISERROR(IF(SUM($BB$110:$BB$129) = 0, "", SUM($BB$110:$BB$129))), "", (IF(SUM($BB$110:$BB$129) = 0, "", SUM($BB$110:$BB$129))))</f>
        <v>9775558.0699999984</v>
      </c>
      <c r="BC109">
        <f ca="1">IF(ISERROR(IF(SUM($BC$110:$BC$129) = 0, "", SUM($BC$110:$BC$129))), "", (IF(SUM($BC$110:$BC$129) = 0, "", SUM($BC$110:$BC$129))))</f>
        <v>9686875.137000002</v>
      </c>
      <c r="BD109">
        <f ca="1">IF(ISERROR(IF(SUM($BD$110:$BD$129) = 0, "", SUM($BD$110:$BD$129))), "", (IF(SUM($BD$110:$BD$129) = 0, "", SUM($BD$110:$BD$129))))</f>
        <v>9582520.9879999999</v>
      </c>
      <c r="BE109">
        <f ca="1">IF(ISERROR(IF(SUM($BE$110:$BE$129) = 0, "", SUM($BE$110:$BE$129))), "", (IF(SUM($BE$110:$BE$129) = 0, "", SUM($BE$110:$BE$129))))</f>
        <v>9637817.7769999988</v>
      </c>
      <c r="BF109">
        <f ca="1">IF(ISERROR(IF(SUM($BF$110:$BF$129) = 0, "", SUM($BF$110:$BF$129))), "", (IF(SUM($BF$110:$BF$129) = 0, "", SUM($BF$110:$BF$129))))</f>
        <v>9330152.0469999965</v>
      </c>
      <c r="BG109">
        <f ca="1">IF(ISERROR(IF(SUM($BG$110:$BG$129) = 0, "", SUM($BG$110:$BG$129))), "", (IF(SUM($BG$110:$BG$129) = 0, "", SUM($BG$110:$BG$129))))</f>
        <v>9468966.7160000019</v>
      </c>
      <c r="BH109">
        <f ca="1">IF(ISERROR(IF(SUM($BH$110:$BH$129) = 0, "", SUM($BH$110:$BH$129))), "", (IF(SUM($BH$110:$BH$129) = 0, "", SUM($BH$110:$BH$129))))</f>
        <v>9408163.841</v>
      </c>
      <c r="BI109">
        <f ca="1">IF(ISERROR(IF(SUM($BI$110:$BI$129) = 0, "", SUM($BI$110:$BI$129))), "", (IF(SUM($BI$110:$BI$129) = 0, "", SUM($BI$110:$BI$129))))</f>
        <v>9324763.3129999992</v>
      </c>
      <c r="BJ109">
        <f ca="1">IF(ISERROR(IF(SUM($BJ$110:$BJ$129) = 0, "", SUM($BJ$110:$BJ$129))), "", (IF(SUM($BJ$110:$BJ$129) = 0, "", SUM($BJ$110:$BJ$129))))</f>
        <v>9214546.8719999995</v>
      </c>
      <c r="BK109">
        <f ca="1">IF(ISERROR(IF(SUM($BK$110:$BK$129) = 0, "", SUM($BK$110:$BK$129))), "", (IF(SUM($BK$110:$BK$129) = 0, "", SUM($BK$110:$BK$129))))</f>
        <v>9333893.0869999994</v>
      </c>
      <c r="BL109">
        <f ca="1">IF(ISERROR(IF(SUM($BL$110:$BL$129) = 0, "", SUM($BL$110:$BL$129))), "", (IF(SUM($BL$110:$BL$129) = 0, "", SUM($BL$110:$BL$129))))</f>
        <v>9192421.217000002</v>
      </c>
      <c r="BM109">
        <f ca="1">IF(ISERROR(IF(SUM($BM$110:$BM$129) = 0, "", SUM($BM$110:$BM$129))), "", (IF(SUM($BM$110:$BM$129) = 0, "", SUM($BM$110:$BM$129))))</f>
        <v>522690.56299999997</v>
      </c>
      <c r="BN109">
        <f>14582067.45</f>
        <v>14582067.449999999</v>
      </c>
      <c r="BO109">
        <f>15192931.46</f>
        <v>15192931.460000001</v>
      </c>
      <c r="BP109">
        <f>15823232.17</f>
        <v>15823232.17</v>
      </c>
      <c r="BQ109">
        <f>15854787.42</f>
        <v>15854787.42</v>
      </c>
      <c r="BR109">
        <f>15455937.98</f>
        <v>15455937.98</v>
      </c>
      <c r="BS109">
        <f>15382900.51</f>
        <v>15382900.51</v>
      </c>
      <c r="BT109">
        <f>15374071.74</f>
        <v>15374071.74</v>
      </c>
      <c r="BU109">
        <f>15402753.23</f>
        <v>15402753.23</v>
      </c>
      <c r="BV109">
        <f>14927453.55</f>
        <v>14927453.550000001</v>
      </c>
      <c r="BW109">
        <f>14891745.51</f>
        <v>14891745.51</v>
      </c>
      <c r="BX109">
        <f>14972081.43</f>
        <v>14972081.43</v>
      </c>
      <c r="BY109">
        <f>15182198.18</f>
        <v>15182198.18</v>
      </c>
      <c r="BZ109">
        <f>14758451.06</f>
        <v>14758451.060000001</v>
      </c>
      <c r="CA109">
        <f>14713193.79</f>
        <v>14713193.789999999</v>
      </c>
      <c r="CB109">
        <f>14498325.16</f>
        <v>14498325.16</v>
      </c>
      <c r="CC109">
        <f>14287758.23</f>
        <v>14287758.23</v>
      </c>
      <c r="CD109">
        <f>13628769.02</f>
        <v>13628769.02</v>
      </c>
      <c r="CE109">
        <f>13293697.3</f>
        <v>13293697.300000001</v>
      </c>
      <c r="CF109">
        <f>13314311.52</f>
        <v>13314311.52</v>
      </c>
      <c r="CG109">
        <f>12992795.97</f>
        <v>12992795.970000001</v>
      </c>
      <c r="CH109">
        <f>11843951.779</f>
        <v>11843951.778999999</v>
      </c>
      <c r="CI109">
        <f>11740994.09</f>
        <v>11740994.09</v>
      </c>
      <c r="CJ109">
        <f>11593714.779</f>
        <v>11593714.778999999</v>
      </c>
      <c r="CK109">
        <f>11483879.95</f>
        <v>11483879.949999999</v>
      </c>
      <c r="CL109">
        <f>11262844.92</f>
        <v>11262844.92</v>
      </c>
      <c r="CM109">
        <f>11189120.52</f>
        <v>11189120.52</v>
      </c>
      <c r="CN109">
        <f>11103211.76</f>
        <v>11103211.76</v>
      </c>
      <c r="CO109">
        <f>11193201.5</f>
        <v>11193201.5</v>
      </c>
      <c r="CP109">
        <f>11033276.49</f>
        <v>11033276.49</v>
      </c>
      <c r="CQ109">
        <f>11077060.54</f>
        <v>11077060.539999999</v>
      </c>
      <c r="CR109">
        <f>11008212.08</f>
        <v>11008212.08</v>
      </c>
      <c r="CS109">
        <f>10941739.22</f>
        <v>10941739.220000001</v>
      </c>
      <c r="CT109">
        <f>10777128.689</f>
        <v>10777128.688999999</v>
      </c>
      <c r="CU109">
        <f>10858546.18</f>
        <v>10858546.18</v>
      </c>
      <c r="CV109">
        <f>10642151.63</f>
        <v>10642151.630000001</v>
      </c>
      <c r="CW109">
        <f>10497937.7</f>
        <v>10497937.699999999</v>
      </c>
      <c r="CX109">
        <f>10237997.62</f>
        <v>10237997.619999999</v>
      </c>
      <c r="CY109">
        <f>10294688.57</f>
        <v>10294688.57</v>
      </c>
      <c r="CZ109">
        <f>10279916.689</f>
        <v>10279916.688999999</v>
      </c>
      <c r="DA109">
        <f>10399092.23</f>
        <v>10399092.23</v>
      </c>
      <c r="DB109">
        <f>10288810.9</f>
        <v>10288810.9</v>
      </c>
      <c r="DC109">
        <f>10200996.02</f>
        <v>10200996.02</v>
      </c>
      <c r="DD109">
        <f>10206265.55</f>
        <v>10206265.550000001</v>
      </c>
      <c r="DE109">
        <f>10029769.72</f>
        <v>10029769.720000001</v>
      </c>
      <c r="DF109">
        <f>9868264.653</f>
        <v>9868264.6530000009</v>
      </c>
      <c r="DG109">
        <f>9881296.591</f>
        <v>9881296.591</v>
      </c>
      <c r="DH109">
        <f>9777996.774</f>
        <v>9777996.7740000002</v>
      </c>
      <c r="DI109">
        <f>9779709.63</f>
        <v>9779709.6300000008</v>
      </c>
      <c r="DJ109">
        <f>9775558.07</f>
        <v>9775558.0700000003</v>
      </c>
      <c r="DK109">
        <f>9686875.137</f>
        <v>9686875.1370000001</v>
      </c>
      <c r="DL109">
        <f>9582520.988</f>
        <v>9582520.9879999999</v>
      </c>
      <c r="DM109">
        <f>9637817.777</f>
        <v>9637817.7770000007</v>
      </c>
      <c r="DN109">
        <f>9330152.047</f>
        <v>9330152.0470000003</v>
      </c>
      <c r="DO109">
        <f>9468966.716</f>
        <v>9468966.716</v>
      </c>
      <c r="DP109">
        <f>9408163.841</f>
        <v>9408163.841</v>
      </c>
      <c r="DQ109">
        <f>9324763.313</f>
        <v>9324763.3129999992</v>
      </c>
      <c r="DR109">
        <f>9214546.872</f>
        <v>9214546.8719999995</v>
      </c>
      <c r="DS109">
        <f>9333893.0869</f>
        <v>9333893.0868999995</v>
      </c>
      <c r="DT109">
        <f>9192421.217</f>
        <v>9192421.2170000002</v>
      </c>
      <c r="DU109">
        <f>522690.563</f>
        <v>522690.56300000002</v>
      </c>
    </row>
    <row r="110" spans="1:125" x14ac:dyDescent="0.25">
      <c r="A110" t="str">
        <f>"            Bank of America Corp"</f>
        <v xml:space="preserve">            Bank of America Corp</v>
      </c>
      <c r="B110" t="str">
        <f>"BAC US Equity"</f>
        <v>BAC US Equity</v>
      </c>
      <c r="C110" t="str">
        <f t="shared" ref="C110:C129" si="16">"FC001"</f>
        <v>FC001</v>
      </c>
      <c r="D110" t="str">
        <f t="shared" ref="D110:D129" si="17">"FDIC_TOTAL_ASSETS"</f>
        <v>FDIC_TOTAL_ASSETS</v>
      </c>
      <c r="E110" t="str">
        <f t="shared" ref="E110:E129" si="18">"Dynamic"</f>
        <v>Dynamic</v>
      </c>
      <c r="F110">
        <f ca="1">IF(AND(ISNUMBER($F$247),$B$145=1),$F$247,HLOOKUP(INDIRECT(ADDRESS(2,COLUMN())),OFFSET($BN$2,0,0,ROW()-1,60),ROW()-1,FALSE))</f>
        <v>3261789</v>
      </c>
      <c r="G110">
        <f ca="1">IF(AND(ISNUMBER($G$247),$B$145=1),$G$247,HLOOKUP(INDIRECT(ADDRESS(2,COLUMN())),OFFSET($BN$2,0,0,ROW()-1,60),ROW()-1,FALSE))</f>
        <v>3324293</v>
      </c>
      <c r="H110">
        <f ca="1">IF(AND(ISNUMBER($H$247),$B$145=1),$H$247,HLOOKUP(INDIRECT(ADDRESS(2,COLUMN())),OFFSET($BN$2,0,0,ROW()-1,60),ROW()-1,FALSE))</f>
        <v>3257996</v>
      </c>
      <c r="I110">
        <f ca="1">IF(AND(ISNUMBER($I$247),$B$145=1),$I$247,HLOOKUP(INDIRECT(ADDRESS(2,COLUMN())),OFFSET($BN$2,0,0,ROW()-1,60),ROW()-1,FALSE))</f>
        <v>3273803</v>
      </c>
      <c r="J110">
        <f ca="1">IF(AND(ISNUMBER($J$247),$B$145=1),$J$247,HLOOKUP(INDIRECT(ADDRESS(2,COLUMN())),OFFSET($BN$2,0,0,ROW()-1,60),ROW()-1,FALSE))</f>
        <v>3180151</v>
      </c>
      <c r="K110">
        <f ca="1">IF(AND(ISNUMBER($K$247),$B$145=1),$K$247,HLOOKUP(INDIRECT(ADDRESS(2,COLUMN())),OFFSET($BN$2,0,0,ROW()-1,60),ROW()-1,FALSE))</f>
        <v>3153090</v>
      </c>
      <c r="L110">
        <f ca="1">IF(AND(ISNUMBER($L$247),$B$145=1),$L$247,HLOOKUP(INDIRECT(ADDRESS(2,COLUMN())),OFFSET($BN$2,0,0,ROW()-1,60),ROW()-1,FALSE))</f>
        <v>3123198</v>
      </c>
      <c r="M110">
        <f ca="1">IF(AND(ISNUMBER($M$247),$B$145=1),$M$247,HLOOKUP(INDIRECT(ADDRESS(2,COLUMN())),OFFSET($BN$2,0,0,ROW()-1,60),ROW()-1,FALSE))</f>
        <v>3194657</v>
      </c>
      <c r="N110">
        <f ca="1">IF(AND(ISNUMBER($N$247),$B$145=1),$N$247,HLOOKUP(INDIRECT(ADDRESS(2,COLUMN())),OFFSET($BN$2,0,0,ROW()-1,60),ROW()-1,FALSE))</f>
        <v>3051215</v>
      </c>
      <c r="O110">
        <f ca="1">IF(AND(ISNUMBER($O$247),$B$145=1),$O$247,HLOOKUP(INDIRECT(ADDRESS(2,COLUMN())),OFFSET($BN$2,0,0,ROW()-1,60),ROW()-1,FALSE))</f>
        <v>3072953</v>
      </c>
      <c r="P110">
        <f ca="1">IF(AND(ISNUMBER($P$247),$B$145=1),$P$247,HLOOKUP(INDIRECT(ADDRESS(2,COLUMN())),OFFSET($BN$2,0,0,ROW()-1,60),ROW()-1,FALSE))</f>
        <v>3111606</v>
      </c>
      <c r="Q110">
        <f ca="1">IF(AND(ISNUMBER($Q$247),$B$145=1),$Q$247,HLOOKUP(INDIRECT(ADDRESS(2,COLUMN())),OFFSET($BN$2,0,0,ROW()-1,60),ROW()-1,FALSE))</f>
        <v>3238223</v>
      </c>
      <c r="R110">
        <f ca="1">IF(AND(ISNUMBER($R$247),$B$145=1),$R$247,HLOOKUP(INDIRECT(ADDRESS(2,COLUMN())),OFFSET($BN$2,0,0,ROW()-1,60),ROW()-1,FALSE))</f>
        <v>3169495</v>
      </c>
      <c r="S110">
        <f ca="1">IF(AND(ISNUMBER($S$247),$B$145=1),$S$247,HLOOKUP(INDIRECT(ADDRESS(2,COLUMN())),OFFSET($BN$2,0,0,ROW()-1,60),ROW()-1,FALSE))</f>
        <v>3085446</v>
      </c>
      <c r="T110">
        <f ca="1">IF(AND(ISNUMBER($T$247),$B$145=1),$T$247,HLOOKUP(INDIRECT(ADDRESS(2,COLUMN())),OFFSET($BN$2,0,0,ROW()-1,60),ROW()-1,FALSE))</f>
        <v>3029894</v>
      </c>
      <c r="U110">
        <f ca="1">IF(AND(ISNUMBER($U$247),$B$145=1),$U$247,HLOOKUP(INDIRECT(ADDRESS(2,COLUMN())),OFFSET($BN$2,0,0,ROW()-1,60),ROW()-1,FALSE))</f>
        <v>2969992</v>
      </c>
      <c r="V110">
        <f ca="1">IF(AND(ISNUMBER($V$247),$B$145=1),$V$247,HLOOKUP(INDIRECT(ADDRESS(2,COLUMN())),OFFSET($BN$2,0,0,ROW()-1,60),ROW()-1,FALSE))</f>
        <v>2819627</v>
      </c>
      <c r="W110">
        <f ca="1">IF(AND(ISNUMBER($W$247),$B$145=1),$W$247,HLOOKUP(INDIRECT(ADDRESS(2,COLUMN())),OFFSET($BN$2,0,0,ROW()-1,60),ROW()-1,FALSE))</f>
        <v>2738452</v>
      </c>
      <c r="X110">
        <f ca="1">IF(AND(ISNUMBER($X$247),$B$145=1),$X$247,HLOOKUP(INDIRECT(ADDRESS(2,COLUMN())),OFFSET($BN$2,0,0,ROW()-1,60),ROW()-1,FALSE))</f>
        <v>2741688</v>
      </c>
      <c r="Y110">
        <f ca="1">IF(AND(ISNUMBER($Y$247),$B$145=1),$Y$247,HLOOKUP(INDIRECT(ADDRESS(2,COLUMN())),OFFSET($BN$2,0,0,ROW()-1,60),ROW()-1,FALSE))</f>
        <v>2619954</v>
      </c>
      <c r="Z110">
        <f ca="1">IF(AND(ISNUMBER($Z$247),$B$145=1),$Z$247,HLOOKUP(INDIRECT(ADDRESS(2,COLUMN())),OFFSET($BN$2,0,0,ROW()-1,60),ROW()-1,FALSE))</f>
        <v>2434079</v>
      </c>
      <c r="AA110">
        <f ca="1">IF(AND(ISNUMBER($AA$247),$B$145=1),$AA$247,HLOOKUP(INDIRECT(ADDRESS(2,COLUMN())),OFFSET($BN$2,0,0,ROW()-1,60),ROW()-1,FALSE))</f>
        <v>2426330</v>
      </c>
      <c r="AB110">
        <f ca="1">IF(AND(ISNUMBER($AB$247),$B$145=1),$AB$247,HLOOKUP(INDIRECT(ADDRESS(2,COLUMN())),OFFSET($BN$2,0,0,ROW()-1,60),ROW()-1,FALSE))</f>
        <v>2396484</v>
      </c>
      <c r="AC110">
        <f ca="1">IF(AND(ISNUMBER($AC$247),$B$145=1),$AC$247,HLOOKUP(INDIRECT(ADDRESS(2,COLUMN())),OFFSET($BN$2,0,0,ROW()-1,60),ROW()-1,FALSE))</f>
        <v>2377362</v>
      </c>
      <c r="AD110">
        <f ca="1">IF(AND(ISNUMBER($AD$247),$B$145=1),$AD$247,HLOOKUP(INDIRECT(ADDRESS(2,COLUMN())),OFFSET($BN$2,0,0,ROW()-1,60),ROW()-1,FALSE))</f>
        <v>2354980</v>
      </c>
      <c r="AE110">
        <f ca="1">IF(AND(ISNUMBER($AE$247),$B$145=1),$AE$247,HLOOKUP(INDIRECT(ADDRESS(2,COLUMN())),OFFSET($BN$2,0,0,ROW()-1,60),ROW()-1,FALSE))</f>
        <v>2338913</v>
      </c>
      <c r="AF110">
        <f ca="1">IF(AND(ISNUMBER($AF$247),$B$145=1),$AF$247,HLOOKUP(INDIRECT(ADDRESS(2,COLUMN())),OFFSET($BN$2,0,0,ROW()-1,60),ROW()-1,FALSE))</f>
        <v>2291858</v>
      </c>
      <c r="AG110">
        <f ca="1">IF(AND(ISNUMBER($AG$247),$B$145=1),$AG$247,HLOOKUP(INDIRECT(ADDRESS(2,COLUMN())),OFFSET($BN$2,0,0,ROW()-1,60),ROW()-1,FALSE))</f>
        <v>2328754</v>
      </c>
      <c r="AH110">
        <f ca="1">IF(AND(ISNUMBER($AH$247),$B$145=1),$AH$247,HLOOKUP(INDIRECT(ADDRESS(2,COLUMN())),OFFSET($BN$2,0,0,ROW()-1,60),ROW()-1,FALSE))</f>
        <v>2281477</v>
      </c>
      <c r="AI110">
        <f ca="1">IF(AND(ISNUMBER($AI$247),$B$145=1),$AI$247,HLOOKUP(INDIRECT(ADDRESS(2,COLUMN())),OFFSET($BN$2,0,0,ROW()-1,60),ROW()-1,FALSE))</f>
        <v>2285062</v>
      </c>
      <c r="AJ110">
        <f ca="1">IF(AND(ISNUMBER($AJ$247),$B$145=1),$AJ$247,HLOOKUP(INDIRECT(ADDRESS(2,COLUMN())),OFFSET($BN$2,0,0,ROW()-1,60),ROW()-1,FALSE))</f>
        <v>2256095</v>
      </c>
      <c r="AK110">
        <f ca="1">IF(AND(ISNUMBER($AK$247),$B$145=1),$AK$247,HLOOKUP(INDIRECT(ADDRESS(2,COLUMN())),OFFSET($BN$2,0,0,ROW()-1,60),ROW()-1,FALSE))</f>
        <v>2249046</v>
      </c>
      <c r="AL110">
        <f ca="1">IF(AND(ISNUMBER($AL$247),$B$145=1),$AL$247,HLOOKUP(INDIRECT(ADDRESS(2,COLUMN())),OFFSET($BN$2,0,0,ROW()-1,60),ROW()-1,FALSE))</f>
        <v>2189266</v>
      </c>
      <c r="AM110">
        <f ca="1">IF(AND(ISNUMBER($AM$247),$B$145=1),$AM$247,HLOOKUP(INDIRECT(ADDRESS(2,COLUMN())),OFFSET($BN$2,0,0,ROW()-1,60),ROW()-1,FALSE))</f>
        <v>2198884</v>
      </c>
      <c r="AN110">
        <f ca="1">IF(AND(ISNUMBER($AN$247),$B$145=1),$AN$247,HLOOKUP(INDIRECT(ADDRESS(2,COLUMN())),OFFSET($BN$2,0,0,ROW()-1,60),ROW()-1,FALSE))</f>
        <v>2189811</v>
      </c>
      <c r="AO110">
        <f ca="1">IF(AND(ISNUMBER($AO$247),$B$145=1),$AO$247,HLOOKUP(INDIRECT(ADDRESS(2,COLUMN())),OFFSET($BN$2,0,0,ROW()-1,60),ROW()-1,FALSE))</f>
        <v>2188633</v>
      </c>
      <c r="AP110">
        <f ca="1">IF(AND(ISNUMBER($AP$247),$B$145=1),$AP$247,HLOOKUP(INDIRECT(ADDRESS(2,COLUMN())),OFFSET($BN$2,0,0,ROW()-1,60),ROW()-1,FALSE))</f>
        <v>2147391</v>
      </c>
      <c r="AQ110">
        <f ca="1">IF(AND(ISNUMBER($AQ$247),$B$145=1),$AQ$247,HLOOKUP(INDIRECT(ADDRESS(2,COLUMN())),OFFSET($BN$2,0,0,ROW()-1,60),ROW()-1,FALSE))</f>
        <v>2154342</v>
      </c>
      <c r="AR110">
        <f ca="1">IF(AND(ISNUMBER($AR$247),$B$145=1),$AR$247,HLOOKUP(INDIRECT(ADDRESS(2,COLUMN())),OFFSET($BN$2,0,0,ROW()-1,60),ROW()-1,FALSE))</f>
        <v>2152082</v>
      </c>
      <c r="AS110">
        <f ca="1">IF(AND(ISNUMBER($AS$247),$B$145=1),$AS$247,HLOOKUP(INDIRECT(ADDRESS(2,COLUMN())),OFFSET($BN$2,0,0,ROW()-1,60),ROW()-1,FALSE))</f>
        <v>2145027</v>
      </c>
      <c r="AT110">
        <f ca="1">IF(AND(ISNUMBER($AT$247),$B$145=1),$AT$247,HLOOKUP(INDIRECT(ADDRESS(2,COLUMN())),OFFSET($BN$2,0,0,ROW()-1,60),ROW()-1,FALSE))</f>
        <v>2106796</v>
      </c>
      <c r="AU110">
        <f ca="1">IF(AND(ISNUMBER($AU$247),$B$145=1),$AU$247,HLOOKUP(INDIRECT(ADDRESS(2,COLUMN())),OFFSET($BN$2,0,0,ROW()-1,60),ROW()-1,FALSE))</f>
        <v>2126138</v>
      </c>
      <c r="AV110">
        <f ca="1">IF(AND(ISNUMBER($AV$247),$B$145=1),$AV$247,HLOOKUP(INDIRECT(ADDRESS(2,COLUMN())),OFFSET($BN$2,0,0,ROW()-1,60),ROW()-1,FALSE))</f>
        <v>2172001</v>
      </c>
      <c r="AW110">
        <f ca="1">IF(AND(ISNUMBER($AW$247),$B$145=1),$AW$247,HLOOKUP(INDIRECT(ADDRESS(2,COLUMN())),OFFSET($BN$2,0,0,ROW()-1,60),ROW()-1,FALSE))</f>
        <v>2152533</v>
      </c>
      <c r="AX110">
        <f ca="1">IF(AND(ISNUMBER($AX$247),$B$145=1),$AX$247,HLOOKUP(INDIRECT(ADDRESS(2,COLUMN())),OFFSET($BN$2,0,0,ROW()-1,60),ROW()-1,FALSE))</f>
        <v>2104995</v>
      </c>
      <c r="AY110">
        <f ca="1">IF(AND(ISNUMBER($AY$247),$B$145=1),$AY$247,HLOOKUP(INDIRECT(ADDRESS(2,COLUMN())),OFFSET($BN$2,0,0,ROW()-1,60),ROW()-1,FALSE))</f>
        <v>2128706</v>
      </c>
      <c r="AZ110">
        <f ca="1">IF(AND(ISNUMBER($AZ$247),$B$145=1),$AZ$247,HLOOKUP(INDIRECT(ADDRESS(2,COLUMN())),OFFSET($BN$2,0,0,ROW()-1,60),ROW()-1,FALSE))</f>
        <v>2125686</v>
      </c>
      <c r="BA110">
        <f ca="1">IF(AND(ISNUMBER($BA$247),$B$145=1),$BA$247,HLOOKUP(INDIRECT(ADDRESS(2,COLUMN())),OFFSET($BN$2,0,0,ROW()-1,60),ROW()-1,FALSE))</f>
        <v>2176625</v>
      </c>
      <c r="BB110">
        <f ca="1">IF(AND(ISNUMBER($BB$247),$B$145=1),$BB$247,HLOOKUP(INDIRECT(ADDRESS(2,COLUMN())),OFFSET($BN$2,0,0,ROW()-1,60),ROW()-1,FALSE))</f>
        <v>2212004.452</v>
      </c>
      <c r="BC110">
        <f ca="1">IF(AND(ISNUMBER($BC$247),$B$145=1),$BC$247,HLOOKUP(INDIRECT(ADDRESS(2,COLUMN())),OFFSET($BN$2,0,0,ROW()-1,60),ROW()-1,FALSE))</f>
        <v>2168023.105</v>
      </c>
      <c r="BD110">
        <f ca="1">IF(AND(ISNUMBER($BD$247),$B$145=1),$BD$247,HLOOKUP(INDIRECT(ADDRESS(2,COLUMN())),OFFSET($BN$2,0,0,ROW()-1,60),ROW()-1,FALSE))</f>
        <v>2162083.3960000002</v>
      </c>
      <c r="BE110">
        <f ca="1">IF(AND(ISNUMBER($BE$247),$B$145=1),$BE$247,HLOOKUP(INDIRECT(ADDRESS(2,COLUMN())),OFFSET($BN$2,0,0,ROW()-1,60),ROW()-1,FALSE))</f>
        <v>2180055.682</v>
      </c>
      <c r="BF110">
        <f ca="1">IF(AND(ISNUMBER($BF$247),$B$145=1),$BF$247,HLOOKUP(INDIRECT(ADDRESS(2,COLUMN())),OFFSET($BN$2,0,0,ROW()-1,60),ROW()-1,FALSE))</f>
        <v>2136577.9070000001</v>
      </c>
      <c r="BG110">
        <f ca="1">IF(AND(ISNUMBER($BG$247),$B$145=1),$BG$247,HLOOKUP(INDIRECT(ADDRESS(2,COLUMN())),OFFSET($BN$2,0,0,ROW()-1,60),ROW()-1,FALSE))</f>
        <v>2221386.5759999999</v>
      </c>
      <c r="BH110">
        <f ca="1">IF(AND(ISNUMBER($BH$247),$B$145=1),$BH$247,HLOOKUP(INDIRECT(ADDRESS(2,COLUMN())),OFFSET($BN$2,0,0,ROW()-1,60),ROW()-1,FALSE))</f>
        <v>2264435.8369999998</v>
      </c>
      <c r="BI110">
        <f ca="1">IF(AND(ISNUMBER($BI$247),$B$145=1),$BI$247,HLOOKUP(INDIRECT(ADDRESS(2,COLUMN())),OFFSET($BN$2,0,0,ROW()-1,60),ROW()-1,FALSE))</f>
        <v>2276418.25</v>
      </c>
      <c r="BJ110">
        <f ca="1">IF(AND(ISNUMBER($BJ$247),$B$145=1),$BJ$247,HLOOKUP(INDIRECT(ADDRESS(2,COLUMN())),OFFSET($BN$2,0,0,ROW()-1,60),ROW()-1,FALSE))</f>
        <v>2268347.3769999999</v>
      </c>
      <c r="BK110">
        <f ca="1">IF(AND(ISNUMBER($BK$247),$B$145=1),$BK$247,HLOOKUP(INDIRECT(ADDRESS(2,COLUMN())),OFFSET($BN$2,0,0,ROW()-1,60),ROW()-1,FALSE))</f>
        <v>2341160.426</v>
      </c>
      <c r="BL110">
        <f ca="1">IF(AND(ISNUMBER($BL$247),$B$145=1),$BL$247,HLOOKUP(INDIRECT(ADDRESS(2,COLUMN())),OFFSET($BN$2,0,0,ROW()-1,60),ROW()-1,FALSE))</f>
        <v>2370594.2349999999</v>
      </c>
      <c r="BM110" t="str">
        <f ca="1">IF(AND(ISNUMBER($BM$247),$B$145=1),$BM$247,HLOOKUP(INDIRECT(ADDRESS(2,COLUMN())),OFFSET($BN$2,0,0,ROW()-1,60),ROW()-1,FALSE))</f>
        <v/>
      </c>
      <c r="BN110">
        <f>3261789</f>
        <v>3261789</v>
      </c>
      <c r="BO110">
        <f>3324293</f>
        <v>3324293</v>
      </c>
      <c r="BP110">
        <f>3257996</f>
        <v>3257996</v>
      </c>
      <c r="BQ110">
        <f>3273803</f>
        <v>3273803</v>
      </c>
      <c r="BR110">
        <f>3180151</f>
        <v>3180151</v>
      </c>
      <c r="BS110">
        <f>3153090</f>
        <v>3153090</v>
      </c>
      <c r="BT110">
        <f>3123198</f>
        <v>3123198</v>
      </c>
      <c r="BU110">
        <f>3194657</f>
        <v>3194657</v>
      </c>
      <c r="BV110">
        <f>3051215</f>
        <v>3051215</v>
      </c>
      <c r="BW110">
        <f>3072953</f>
        <v>3072953</v>
      </c>
      <c r="BX110">
        <f>3111606</f>
        <v>3111606</v>
      </c>
      <c r="BY110">
        <f>3238223</f>
        <v>3238223</v>
      </c>
      <c r="BZ110">
        <f>3169495</f>
        <v>3169495</v>
      </c>
      <c r="CA110">
        <f>3085446</f>
        <v>3085446</v>
      </c>
      <c r="CB110">
        <f>3029894</f>
        <v>3029894</v>
      </c>
      <c r="CC110">
        <f>2969992</f>
        <v>2969992</v>
      </c>
      <c r="CD110">
        <f>2819627</f>
        <v>2819627</v>
      </c>
      <c r="CE110">
        <f>2738452</f>
        <v>2738452</v>
      </c>
      <c r="CF110">
        <f>2741688</f>
        <v>2741688</v>
      </c>
      <c r="CG110">
        <f>2619954</f>
        <v>2619954</v>
      </c>
      <c r="CH110">
        <f>2434079</f>
        <v>2434079</v>
      </c>
      <c r="CI110">
        <f>2426330</f>
        <v>2426330</v>
      </c>
      <c r="CJ110">
        <f>2396484</f>
        <v>2396484</v>
      </c>
      <c r="CK110">
        <f>2377362</f>
        <v>2377362</v>
      </c>
      <c r="CL110">
        <f>2354980</f>
        <v>2354980</v>
      </c>
      <c r="CM110">
        <f>2338913</f>
        <v>2338913</v>
      </c>
      <c r="CN110">
        <f>2291858</f>
        <v>2291858</v>
      </c>
      <c r="CO110">
        <f>2328754</f>
        <v>2328754</v>
      </c>
      <c r="CP110">
        <f>2281477</f>
        <v>2281477</v>
      </c>
      <c r="CQ110">
        <f>2285062</f>
        <v>2285062</v>
      </c>
      <c r="CR110">
        <f>2256095</f>
        <v>2256095</v>
      </c>
      <c r="CS110">
        <f>2249046</f>
        <v>2249046</v>
      </c>
      <c r="CT110">
        <f>2189266</f>
        <v>2189266</v>
      </c>
      <c r="CU110">
        <f>2198884</f>
        <v>2198884</v>
      </c>
      <c r="CV110">
        <f>2189811</f>
        <v>2189811</v>
      </c>
      <c r="CW110">
        <f>2188633</f>
        <v>2188633</v>
      </c>
      <c r="CX110">
        <f>2147391</f>
        <v>2147391</v>
      </c>
      <c r="CY110">
        <f>2154342</f>
        <v>2154342</v>
      </c>
      <c r="CZ110">
        <f>2152082</f>
        <v>2152082</v>
      </c>
      <c r="DA110">
        <f>2145027</f>
        <v>2145027</v>
      </c>
      <c r="DB110">
        <f>2106796</f>
        <v>2106796</v>
      </c>
      <c r="DC110">
        <f>2126138</f>
        <v>2126138</v>
      </c>
      <c r="DD110">
        <f>2172001</f>
        <v>2172001</v>
      </c>
      <c r="DE110">
        <f>2152533</f>
        <v>2152533</v>
      </c>
      <c r="DF110">
        <f>2104995</f>
        <v>2104995</v>
      </c>
      <c r="DG110">
        <f>2128706</f>
        <v>2128706</v>
      </c>
      <c r="DH110">
        <f>2125686</f>
        <v>2125686</v>
      </c>
      <c r="DI110">
        <f>2176625</f>
        <v>2176625</v>
      </c>
      <c r="DJ110">
        <f>2212004.452</f>
        <v>2212004.452</v>
      </c>
      <c r="DK110">
        <f>2168023.105</f>
        <v>2168023.105</v>
      </c>
      <c r="DL110">
        <f>2162083.396</f>
        <v>2162083.3960000002</v>
      </c>
      <c r="DM110">
        <f>2180055.682</f>
        <v>2180055.682</v>
      </c>
      <c r="DN110">
        <f>2136577.907</f>
        <v>2136577.9070000001</v>
      </c>
      <c r="DO110">
        <f>2221386.576</f>
        <v>2221386.5759999999</v>
      </c>
      <c r="DP110">
        <f>2264435.837</f>
        <v>2264435.8369999998</v>
      </c>
      <c r="DQ110">
        <f>2276418.25</f>
        <v>2276418.25</v>
      </c>
      <c r="DR110">
        <f>2268347.377</f>
        <v>2268347.3769999999</v>
      </c>
      <c r="DS110">
        <f>2341160.426</f>
        <v>2341160.426</v>
      </c>
      <c r="DT110">
        <f>2370594.235</f>
        <v>2370594.2349999999</v>
      </c>
      <c r="DU110" t="str">
        <f>""</f>
        <v/>
      </c>
    </row>
    <row r="111" spans="1:125" x14ac:dyDescent="0.25">
      <c r="A111" t="str">
        <f>"            Citigroup Inc"</f>
        <v xml:space="preserve">            Citigroup Inc</v>
      </c>
      <c r="B111" t="str">
        <f>"C US Equity"</f>
        <v>C US Equity</v>
      </c>
      <c r="C111" t="str">
        <f t="shared" si="16"/>
        <v>FC001</v>
      </c>
      <c r="D111" t="str">
        <f t="shared" si="17"/>
        <v>FDIC_TOTAL_ASSETS</v>
      </c>
      <c r="E111" t="str">
        <f t="shared" si="18"/>
        <v>Dynamic</v>
      </c>
      <c r="F111">
        <f ca="1">IF(AND(ISNUMBER($F$248),$B$145=1),$F$248,HLOOKUP(INDIRECT(ADDRESS(2,COLUMN())),OFFSET($BN$2,0,0,ROW()-1,60),ROW()-1,FALSE))</f>
        <v>2352945</v>
      </c>
      <c r="G111">
        <f ca="1">IF(AND(ISNUMBER($G$248),$B$145=1),$G$248,HLOOKUP(INDIRECT(ADDRESS(2,COLUMN())),OFFSET($BN$2,0,0,ROW()-1,60),ROW()-1,FALSE))</f>
        <v>2430663</v>
      </c>
      <c r="H111">
        <f ca="1">IF(AND(ISNUMBER($H$248),$B$145=1),$H$248,HLOOKUP(INDIRECT(ADDRESS(2,COLUMN())),OFFSET($BN$2,0,0,ROW()-1,60),ROW()-1,FALSE))</f>
        <v>2405686</v>
      </c>
      <c r="I111">
        <f ca="1">IF(AND(ISNUMBER($I$248),$B$145=1),$I$248,HLOOKUP(INDIRECT(ADDRESS(2,COLUMN())),OFFSET($BN$2,0,0,ROW()-1,60),ROW()-1,FALSE))</f>
        <v>2432510</v>
      </c>
      <c r="J111">
        <f ca="1">IF(AND(ISNUMBER($J$248),$B$145=1),$J$248,HLOOKUP(INDIRECT(ADDRESS(2,COLUMN())),OFFSET($BN$2,0,0,ROW()-1,60),ROW()-1,FALSE))</f>
        <v>2411834</v>
      </c>
      <c r="K111">
        <f ca="1">IF(AND(ISNUMBER($K$248),$B$145=1),$K$248,HLOOKUP(INDIRECT(ADDRESS(2,COLUMN())),OFFSET($BN$2,0,0,ROW()-1,60),ROW()-1,FALSE))</f>
        <v>2368477</v>
      </c>
      <c r="L111">
        <f ca="1">IF(AND(ISNUMBER($L$248),$B$145=1),$L$248,HLOOKUP(INDIRECT(ADDRESS(2,COLUMN())),OFFSET($BN$2,0,0,ROW()-1,60),ROW()-1,FALSE))</f>
        <v>2423675</v>
      </c>
      <c r="M111">
        <f ca="1">IF(AND(ISNUMBER($M$248),$B$145=1),$M$248,HLOOKUP(INDIRECT(ADDRESS(2,COLUMN())),OFFSET($BN$2,0,0,ROW()-1,60),ROW()-1,FALSE))</f>
        <v>2455113</v>
      </c>
      <c r="N111">
        <f ca="1">IF(AND(ISNUMBER($N$248),$B$145=1),$N$248,HLOOKUP(INDIRECT(ADDRESS(2,COLUMN())),OFFSET($BN$2,0,0,ROW()-1,60),ROW()-1,FALSE))</f>
        <v>2416676</v>
      </c>
      <c r="O111">
        <f ca="1">IF(AND(ISNUMBER($O$248),$B$145=1),$O$248,HLOOKUP(INDIRECT(ADDRESS(2,COLUMN())),OFFSET($BN$2,0,0,ROW()-1,60),ROW()-1,FALSE))</f>
        <v>2381064</v>
      </c>
      <c r="P111">
        <f ca="1">IF(AND(ISNUMBER($P$248),$B$145=1),$P$248,HLOOKUP(INDIRECT(ADDRESS(2,COLUMN())),OFFSET($BN$2,0,0,ROW()-1,60),ROW()-1,FALSE))</f>
        <v>2380904</v>
      </c>
      <c r="Q111">
        <f ca="1">IF(AND(ISNUMBER($Q$248),$B$145=1),$Q$248,HLOOKUP(INDIRECT(ADDRESS(2,COLUMN())),OFFSET($BN$2,0,0,ROW()-1,60),ROW()-1,FALSE))</f>
        <v>2394105</v>
      </c>
      <c r="R111">
        <f ca="1">IF(AND(ISNUMBER($R$248),$B$145=1),$R$248,HLOOKUP(INDIRECT(ADDRESS(2,COLUMN())),OFFSET($BN$2,0,0,ROW()-1,60),ROW()-1,FALSE))</f>
        <v>2291413</v>
      </c>
      <c r="S111">
        <f ca="1">IF(AND(ISNUMBER($S$248),$B$145=1),$S$248,HLOOKUP(INDIRECT(ADDRESS(2,COLUMN())),OFFSET($BN$2,0,0,ROW()-1,60),ROW()-1,FALSE))</f>
        <v>2361876</v>
      </c>
      <c r="T111">
        <f ca="1">IF(AND(ISNUMBER($T$248),$B$145=1),$T$248,HLOOKUP(INDIRECT(ADDRESS(2,COLUMN())),OFFSET($BN$2,0,0,ROW()-1,60),ROW()-1,FALSE))</f>
        <v>2327868</v>
      </c>
      <c r="U111">
        <f ca="1">IF(AND(ISNUMBER($U$248),$B$145=1),$U$248,HLOOKUP(INDIRECT(ADDRESS(2,COLUMN())),OFFSET($BN$2,0,0,ROW()-1,60),ROW()-1,FALSE))</f>
        <v>2314266</v>
      </c>
      <c r="V111">
        <f ca="1">IF(AND(ISNUMBER($V$248),$B$145=1),$V$248,HLOOKUP(INDIRECT(ADDRESS(2,COLUMN())),OFFSET($BN$2,0,0,ROW()-1,60),ROW()-1,FALSE))</f>
        <v>2260090</v>
      </c>
      <c r="W111">
        <f ca="1">IF(AND(ISNUMBER($W$248),$B$145=1),$W$248,HLOOKUP(INDIRECT(ADDRESS(2,COLUMN())),OFFSET($BN$2,0,0,ROW()-1,60),ROW()-1,FALSE))</f>
        <v>2234459</v>
      </c>
      <c r="X111">
        <f ca="1">IF(AND(ISNUMBER($X$248),$B$145=1),$X$248,HLOOKUP(INDIRECT(ADDRESS(2,COLUMN())),OFFSET($BN$2,0,0,ROW()-1,60),ROW()-1,FALSE))</f>
        <v>2232799</v>
      </c>
      <c r="Y111">
        <f ca="1">IF(AND(ISNUMBER($Y$248),$B$145=1),$Y$248,HLOOKUP(INDIRECT(ADDRESS(2,COLUMN())),OFFSET($BN$2,0,0,ROW()-1,60),ROW()-1,FALSE))</f>
        <v>2220114</v>
      </c>
      <c r="Z111">
        <f ca="1">IF(AND(ISNUMBER($Z$248),$B$145=1),$Z$248,HLOOKUP(INDIRECT(ADDRESS(2,COLUMN())),OFFSET($BN$2,0,0,ROW()-1,60),ROW()-1,FALSE))</f>
        <v>1951158</v>
      </c>
      <c r="AA111">
        <f ca="1">IF(AND(ISNUMBER($AA$248),$B$145=1),$AA$248,HLOOKUP(INDIRECT(ADDRESS(2,COLUMN())),OFFSET($BN$2,0,0,ROW()-1,60),ROW()-1,FALSE))</f>
        <v>2014802</v>
      </c>
      <c r="AB111">
        <f ca="1">IF(AND(ISNUMBER($AB$248),$B$145=1),$AB$248,HLOOKUP(INDIRECT(ADDRESS(2,COLUMN())),OFFSET($BN$2,0,0,ROW()-1,60),ROW()-1,FALSE))</f>
        <v>1988226</v>
      </c>
      <c r="AC111">
        <f ca="1">IF(AND(ISNUMBER($AC$248),$B$145=1),$AC$248,HLOOKUP(INDIRECT(ADDRESS(2,COLUMN())),OFFSET($BN$2,0,0,ROW()-1,60),ROW()-1,FALSE))</f>
        <v>1958413</v>
      </c>
      <c r="AD111">
        <f ca="1">IF(AND(ISNUMBER($AD$248),$B$145=1),$AD$248,HLOOKUP(INDIRECT(ADDRESS(2,COLUMN())),OFFSET($BN$2,0,0,ROW()-1,60),ROW()-1,FALSE))</f>
        <v>1917383</v>
      </c>
      <c r="AE111">
        <f ca="1">IF(AND(ISNUMBER($AE$248),$B$145=1),$AE$248,HLOOKUP(INDIRECT(ADDRESS(2,COLUMN())),OFFSET($BN$2,0,0,ROW()-1,60),ROW()-1,FALSE))</f>
        <v>1925165</v>
      </c>
      <c r="AF111">
        <f ca="1">IF(AND(ISNUMBER($AF$248),$B$145=1),$AF$248,HLOOKUP(INDIRECT(ADDRESS(2,COLUMN())),OFFSET($BN$2,0,0,ROW()-1,60),ROW()-1,FALSE))</f>
        <v>1912334</v>
      </c>
      <c r="AG111">
        <f ca="1">IF(AND(ISNUMBER($AG$248),$B$145=1),$AG$248,HLOOKUP(INDIRECT(ADDRESS(2,COLUMN())),OFFSET($BN$2,0,0,ROW()-1,60),ROW()-1,FALSE))</f>
        <v>1922104</v>
      </c>
      <c r="AH111">
        <f ca="1">IF(AND(ISNUMBER($AH$248),$B$145=1),$AH$248,HLOOKUP(INDIRECT(ADDRESS(2,COLUMN())),OFFSET($BN$2,0,0,ROW()-1,60),ROW()-1,FALSE))</f>
        <v>1842465</v>
      </c>
      <c r="AI111">
        <f ca="1">IF(AND(ISNUMBER($AI$248),$B$145=1),$AI$248,HLOOKUP(INDIRECT(ADDRESS(2,COLUMN())),OFFSET($BN$2,0,0,ROW()-1,60),ROW()-1,FALSE))</f>
        <v>1889133</v>
      </c>
      <c r="AJ111">
        <f ca="1">IF(AND(ISNUMBER($AJ$248),$B$145=1),$AJ$248,HLOOKUP(INDIRECT(ADDRESS(2,COLUMN())),OFFSET($BN$2,0,0,ROW()-1,60),ROW()-1,FALSE))</f>
        <v>1864063</v>
      </c>
      <c r="AK111">
        <f ca="1">IF(AND(ISNUMBER($AK$248),$B$145=1),$AK$248,HLOOKUP(INDIRECT(ADDRESS(2,COLUMN())),OFFSET($BN$2,0,0,ROW()-1,60),ROW()-1,FALSE))</f>
        <v>1821635</v>
      </c>
      <c r="AL111">
        <f ca="1">IF(AND(ISNUMBER($AL$248),$B$145=1),$AL$248,HLOOKUP(INDIRECT(ADDRESS(2,COLUMN())),OFFSET($BN$2,0,0,ROW()-1,60),ROW()-1,FALSE))</f>
        <v>1792077</v>
      </c>
      <c r="AM111">
        <f ca="1">IF(AND(ISNUMBER($AM$248),$B$145=1),$AM$248,HLOOKUP(INDIRECT(ADDRESS(2,COLUMN())),OFFSET($BN$2,0,0,ROW()-1,60),ROW()-1,FALSE))</f>
        <v>1818117</v>
      </c>
      <c r="AN111">
        <f ca="1">IF(AND(ISNUMBER($AN$248),$B$145=1),$AN$248,HLOOKUP(INDIRECT(ADDRESS(2,COLUMN())),OFFSET($BN$2,0,0,ROW()-1,60),ROW()-1,FALSE))</f>
        <v>1818771</v>
      </c>
      <c r="AO111">
        <f ca="1">IF(AND(ISNUMBER($AO$248),$B$145=1),$AO$248,HLOOKUP(INDIRECT(ADDRESS(2,COLUMN())),OFFSET($BN$2,0,0,ROW()-1,60),ROW()-1,FALSE))</f>
        <v>1800967</v>
      </c>
      <c r="AP111">
        <f ca="1">IF(AND(ISNUMBER($AP$248),$B$145=1),$AP$248,HLOOKUP(INDIRECT(ADDRESS(2,COLUMN())),OFFSET($BN$2,0,0,ROW()-1,60),ROW()-1,FALSE))</f>
        <v>1731210</v>
      </c>
      <c r="AQ111">
        <f ca="1">IF(AND(ISNUMBER($AQ$248),$B$145=1),$AQ$248,HLOOKUP(INDIRECT(ADDRESS(2,COLUMN())),OFFSET($BN$2,0,0,ROW()-1,60),ROW()-1,FALSE))</f>
        <v>1808356</v>
      </c>
      <c r="AR111">
        <f ca="1">IF(AND(ISNUMBER($AR$248),$B$145=1),$AR$248,HLOOKUP(INDIRECT(ADDRESS(2,COLUMN())),OFFSET($BN$2,0,0,ROW()-1,60),ROW()-1,FALSE))</f>
        <v>1829370</v>
      </c>
      <c r="AS111">
        <f ca="1">IF(AND(ISNUMBER($AS$248),$B$145=1),$AS$248,HLOOKUP(INDIRECT(ADDRESS(2,COLUMN())),OFFSET($BN$2,0,0,ROW()-1,60),ROW()-1,FALSE))</f>
        <v>1831801</v>
      </c>
      <c r="AT111">
        <f ca="1">IF(AND(ISNUMBER($AT$248),$B$145=1),$AT$248,HLOOKUP(INDIRECT(ADDRESS(2,COLUMN())),OFFSET($BN$2,0,0,ROW()-1,60),ROW()-1,FALSE))</f>
        <v>1842530</v>
      </c>
      <c r="AU111">
        <f ca="1">IF(AND(ISNUMBER($AU$248),$B$145=1),$AU$248,HLOOKUP(INDIRECT(ADDRESS(2,COLUMN())),OFFSET($BN$2,0,0,ROW()-1,60),ROW()-1,FALSE))</f>
        <v>1882849</v>
      </c>
      <c r="AV111">
        <f ca="1">IF(AND(ISNUMBER($AV$248),$B$145=1),$AV$248,HLOOKUP(INDIRECT(ADDRESS(2,COLUMN())),OFFSET($BN$2,0,0,ROW()-1,60),ROW()-1,FALSE))</f>
        <v>1909715</v>
      </c>
      <c r="AW111">
        <f ca="1">IF(AND(ISNUMBER($AW$248),$B$145=1),$AW$248,HLOOKUP(INDIRECT(ADDRESS(2,COLUMN())),OFFSET($BN$2,0,0,ROW()-1,60),ROW()-1,FALSE))</f>
        <v>1894736</v>
      </c>
      <c r="AX111">
        <f ca="1">IF(AND(ISNUMBER($AX$248),$B$145=1),$AX$248,HLOOKUP(INDIRECT(ADDRESS(2,COLUMN())),OFFSET($BN$2,0,0,ROW()-1,60),ROW()-1,FALSE))</f>
        <v>1880382</v>
      </c>
      <c r="AY111">
        <f ca="1">IF(AND(ISNUMBER($AY$248),$B$145=1),$AY$248,HLOOKUP(INDIRECT(ADDRESS(2,COLUMN())),OFFSET($BN$2,0,0,ROW()-1,60),ROW()-1,FALSE))</f>
        <v>1899511</v>
      </c>
      <c r="AZ111">
        <f ca="1">IF(AND(ISNUMBER($AZ$248),$B$145=1),$AZ$248,HLOOKUP(INDIRECT(ADDRESS(2,COLUMN())),OFFSET($BN$2,0,0,ROW()-1,60),ROW()-1,FALSE))</f>
        <v>1883988</v>
      </c>
      <c r="BA111">
        <f ca="1">IF(AND(ISNUMBER($BA$248),$B$145=1),$BA$248,HLOOKUP(INDIRECT(ADDRESS(2,COLUMN())),OFFSET($BN$2,0,0,ROW()-1,60),ROW()-1,FALSE))</f>
        <v>1881734</v>
      </c>
      <c r="BB111">
        <f ca="1">IF(AND(ISNUMBER($BB$248),$B$145=1),$BB$248,HLOOKUP(INDIRECT(ADDRESS(2,COLUMN())),OFFSET($BN$2,0,0,ROW()-1,60),ROW()-1,FALSE))</f>
        <v>1864660</v>
      </c>
      <c r="BC111">
        <f ca="1">IF(AND(ISNUMBER($BC$248),$B$145=1),$BC$248,HLOOKUP(INDIRECT(ADDRESS(2,COLUMN())),OFFSET($BN$2,0,0,ROW()-1,60),ROW()-1,FALSE))</f>
        <v>1931346</v>
      </c>
      <c r="BD111">
        <f ca="1">IF(AND(ISNUMBER($BD$248),$B$145=1),$BD$248,HLOOKUP(INDIRECT(ADDRESS(2,COLUMN())),OFFSET($BN$2,0,0,ROW()-1,60),ROW()-1,FALSE))</f>
        <v>1916451</v>
      </c>
      <c r="BE111">
        <f ca="1">IF(AND(ISNUMBER($BE$248),$B$145=1),$BE$248,HLOOKUP(INDIRECT(ADDRESS(2,COLUMN())),OFFSET($BN$2,0,0,ROW()-1,60),ROW()-1,FALSE))</f>
        <v>1944423</v>
      </c>
      <c r="BF111">
        <f ca="1">IF(AND(ISNUMBER($BF$248),$B$145=1),$BF$248,HLOOKUP(INDIRECT(ADDRESS(2,COLUMN())),OFFSET($BN$2,0,0,ROW()-1,60),ROW()-1,FALSE))</f>
        <v>1873878</v>
      </c>
      <c r="BG111">
        <f ca="1">IF(AND(ISNUMBER($BG$248),$B$145=1),$BG$248,HLOOKUP(INDIRECT(ADDRESS(2,COLUMN())),OFFSET($BN$2,0,0,ROW()-1,60),ROW()-1,FALSE))</f>
        <v>1935992</v>
      </c>
      <c r="BH111">
        <f ca="1">IF(AND(ISNUMBER($BH$248),$B$145=1),$BH$248,HLOOKUP(INDIRECT(ADDRESS(2,COLUMN())),OFFSET($BN$2,0,0,ROW()-1,60),ROW()-1,FALSE))</f>
        <v>1956626</v>
      </c>
      <c r="BI111">
        <f ca="1">IF(AND(ISNUMBER($BI$248),$B$145=1),$BI$248,HLOOKUP(INDIRECT(ADDRESS(2,COLUMN())),OFFSET($BN$2,0,0,ROW()-1,60),ROW()-1,FALSE))</f>
        <v>1947815</v>
      </c>
      <c r="BJ111">
        <f ca="1">IF(AND(ISNUMBER($BJ$248),$B$145=1),$BJ$248,HLOOKUP(INDIRECT(ADDRESS(2,COLUMN())),OFFSET($BN$2,0,0,ROW()-1,60),ROW()-1,FALSE))</f>
        <v>1913902</v>
      </c>
      <c r="BK111">
        <f ca="1">IF(AND(ISNUMBER($BK$248),$B$145=1),$BK$248,HLOOKUP(INDIRECT(ADDRESS(2,COLUMN())),OFFSET($BN$2,0,0,ROW()-1,60),ROW()-1,FALSE))</f>
        <v>1983280</v>
      </c>
      <c r="BL111">
        <f ca="1">IF(AND(ISNUMBER($BL$248),$B$145=1),$BL$248,HLOOKUP(INDIRECT(ADDRESS(2,COLUMN())),OFFSET($BN$2,0,0,ROW()-1,60),ROW()-1,FALSE))</f>
        <v>1937656</v>
      </c>
      <c r="BM111" t="str">
        <f ca="1">IF(AND(ISNUMBER($BM$248),$B$145=1),$BM$248,HLOOKUP(INDIRECT(ADDRESS(2,COLUMN())),OFFSET($BN$2,0,0,ROW()-1,60),ROW()-1,FALSE))</f>
        <v/>
      </c>
      <c r="BN111">
        <f>2352945</f>
        <v>2352945</v>
      </c>
      <c r="BO111">
        <f>2430663</f>
        <v>2430663</v>
      </c>
      <c r="BP111">
        <f>2405686</f>
        <v>2405686</v>
      </c>
      <c r="BQ111">
        <f>2432510</f>
        <v>2432510</v>
      </c>
      <c r="BR111">
        <f>2411834</f>
        <v>2411834</v>
      </c>
      <c r="BS111">
        <f>2368477</f>
        <v>2368477</v>
      </c>
      <c r="BT111">
        <f>2423675</f>
        <v>2423675</v>
      </c>
      <c r="BU111">
        <f>2455113</f>
        <v>2455113</v>
      </c>
      <c r="BV111">
        <f>2416676</f>
        <v>2416676</v>
      </c>
      <c r="BW111">
        <f>2381064</f>
        <v>2381064</v>
      </c>
      <c r="BX111">
        <f>2380904</f>
        <v>2380904</v>
      </c>
      <c r="BY111">
        <f>2394105</f>
        <v>2394105</v>
      </c>
      <c r="BZ111">
        <f>2291413</f>
        <v>2291413</v>
      </c>
      <c r="CA111">
        <f>2361876</f>
        <v>2361876</v>
      </c>
      <c r="CB111">
        <f>2327868</f>
        <v>2327868</v>
      </c>
      <c r="CC111">
        <f>2314266</f>
        <v>2314266</v>
      </c>
      <c r="CD111">
        <f>2260090</f>
        <v>2260090</v>
      </c>
      <c r="CE111">
        <f>2234459</f>
        <v>2234459</v>
      </c>
      <c r="CF111">
        <f>2232799</f>
        <v>2232799</v>
      </c>
      <c r="CG111">
        <f>2220114</f>
        <v>2220114</v>
      </c>
      <c r="CH111">
        <f>1951158</f>
        <v>1951158</v>
      </c>
      <c r="CI111">
        <f>2014802</f>
        <v>2014802</v>
      </c>
      <c r="CJ111">
        <f>1988226</f>
        <v>1988226</v>
      </c>
      <c r="CK111">
        <f>1958413</f>
        <v>1958413</v>
      </c>
      <c r="CL111">
        <f>1917383</f>
        <v>1917383</v>
      </c>
      <c r="CM111">
        <f>1925165</f>
        <v>1925165</v>
      </c>
      <c r="CN111">
        <f>1912334</f>
        <v>1912334</v>
      </c>
      <c r="CO111">
        <f>1922104</f>
        <v>1922104</v>
      </c>
      <c r="CP111">
        <f>1842465</f>
        <v>1842465</v>
      </c>
      <c r="CQ111">
        <f>1889133</f>
        <v>1889133</v>
      </c>
      <c r="CR111">
        <f>1864063</f>
        <v>1864063</v>
      </c>
      <c r="CS111">
        <f>1821635</f>
        <v>1821635</v>
      </c>
      <c r="CT111">
        <f>1792077</f>
        <v>1792077</v>
      </c>
      <c r="CU111">
        <f>1818117</f>
        <v>1818117</v>
      </c>
      <c r="CV111">
        <f>1818771</f>
        <v>1818771</v>
      </c>
      <c r="CW111">
        <f>1800967</f>
        <v>1800967</v>
      </c>
      <c r="CX111">
        <f>1731210</f>
        <v>1731210</v>
      </c>
      <c r="CY111">
        <f>1808356</f>
        <v>1808356</v>
      </c>
      <c r="CZ111">
        <f>1829370</f>
        <v>1829370</v>
      </c>
      <c r="DA111">
        <f>1831801</f>
        <v>1831801</v>
      </c>
      <c r="DB111">
        <f>1842530</f>
        <v>1842530</v>
      </c>
      <c r="DC111">
        <f>1882849</f>
        <v>1882849</v>
      </c>
      <c r="DD111">
        <f>1909715</f>
        <v>1909715</v>
      </c>
      <c r="DE111">
        <f>1894736</f>
        <v>1894736</v>
      </c>
      <c r="DF111">
        <f>1880382</f>
        <v>1880382</v>
      </c>
      <c r="DG111">
        <f>1899511</f>
        <v>1899511</v>
      </c>
      <c r="DH111">
        <f>1883988</f>
        <v>1883988</v>
      </c>
      <c r="DI111">
        <f>1881734</f>
        <v>1881734</v>
      </c>
      <c r="DJ111">
        <f>1864660</f>
        <v>1864660</v>
      </c>
      <c r="DK111">
        <f>1931346</f>
        <v>1931346</v>
      </c>
      <c r="DL111">
        <f>1916451</f>
        <v>1916451</v>
      </c>
      <c r="DM111">
        <f>1944423</f>
        <v>1944423</v>
      </c>
      <c r="DN111">
        <f>1873878</f>
        <v>1873878</v>
      </c>
      <c r="DO111">
        <f>1935992</f>
        <v>1935992</v>
      </c>
      <c r="DP111">
        <f>1956626</f>
        <v>1956626</v>
      </c>
      <c r="DQ111">
        <f>1947815</f>
        <v>1947815</v>
      </c>
      <c r="DR111">
        <f>1913902</f>
        <v>1913902</v>
      </c>
      <c r="DS111">
        <f>1983280</f>
        <v>1983280</v>
      </c>
      <c r="DT111">
        <f>1937656</f>
        <v>1937656</v>
      </c>
      <c r="DU111" t="str">
        <f>""</f>
        <v/>
      </c>
    </row>
    <row r="112" spans="1:125" x14ac:dyDescent="0.25">
      <c r="A112" t="str">
        <f>"            Citizens Financial Group Inc"</f>
        <v xml:space="preserve">            Citizens Financial Group Inc</v>
      </c>
      <c r="B112" t="str">
        <f>"CFG US Equity"</f>
        <v>CFG US Equity</v>
      </c>
      <c r="C112" t="str">
        <f t="shared" si="16"/>
        <v>FC001</v>
      </c>
      <c r="D112" t="str">
        <f t="shared" si="17"/>
        <v>FDIC_TOTAL_ASSETS</v>
      </c>
      <c r="E112" t="str">
        <f t="shared" si="18"/>
        <v>Dynamic</v>
      </c>
      <c r="F112">
        <f ca="1">IF(AND(ISNUMBER($F$249),$B$145=1),$F$249,HLOOKUP(INDIRECT(ADDRESS(2,COLUMN())),OFFSET($BN$2,0,0,ROW()-1,60),ROW()-1,FALSE))</f>
        <v>217935.962</v>
      </c>
      <c r="G112">
        <f ca="1">IF(AND(ISNUMBER($G$249),$B$145=1),$G$249,HLOOKUP(INDIRECT(ADDRESS(2,COLUMN())),OFFSET($BN$2,0,0,ROW()-1,60),ROW()-1,FALSE))</f>
        <v>220309.16699999999</v>
      </c>
      <c r="H112">
        <f ca="1">IF(AND(ISNUMBER($H$249),$B$145=1),$H$249,HLOOKUP(INDIRECT(ADDRESS(2,COLUMN())),OFFSET($BN$2,0,0,ROW()-1,60),ROW()-1,FALSE))</f>
        <v>220373.58600000001</v>
      </c>
      <c r="I112">
        <f ca="1">IF(AND(ISNUMBER($I$249),$B$145=1),$I$249,HLOOKUP(INDIRECT(ADDRESS(2,COLUMN())),OFFSET($BN$2,0,0,ROW()-1,60),ROW()-1,FALSE))</f>
        <v>220862.00200000001</v>
      </c>
      <c r="J112">
        <f ca="1">IF(AND(ISNUMBER($J$249),$B$145=1),$J$249,HLOOKUP(INDIRECT(ADDRESS(2,COLUMN())),OFFSET($BN$2,0,0,ROW()-1,60),ROW()-1,FALSE))</f>
        <v>222411.872</v>
      </c>
      <c r="K112">
        <f ca="1">IF(AND(ISNUMBER($K$249),$B$145=1),$K$249,HLOOKUP(INDIRECT(ADDRESS(2,COLUMN())),OFFSET($BN$2,0,0,ROW()-1,60),ROW()-1,FALSE))</f>
        <v>225635.45600000001</v>
      </c>
      <c r="L112">
        <f ca="1">IF(AND(ISNUMBER($L$249),$B$145=1),$L$249,HLOOKUP(INDIRECT(ADDRESS(2,COLUMN())),OFFSET($BN$2,0,0,ROW()-1,60),ROW()-1,FALSE))</f>
        <v>223468.136</v>
      </c>
      <c r="M112">
        <f ca="1">IF(AND(ISNUMBER($M$249),$B$145=1),$M$249,HLOOKUP(INDIRECT(ADDRESS(2,COLUMN())),OFFSET($BN$2,0,0,ROW()-1,60),ROW()-1,FALSE))</f>
        <v>222655.78200000001</v>
      </c>
      <c r="N112">
        <f ca="1">IF(AND(ISNUMBER($N$249),$B$145=1),$N$249,HLOOKUP(INDIRECT(ADDRESS(2,COLUMN())),OFFSET($BN$2,0,0,ROW()-1,60),ROW()-1,FALSE))</f>
        <v>227087.18599999999</v>
      </c>
      <c r="O112">
        <f ca="1">IF(AND(ISNUMBER($O$249),$B$145=1),$O$249,HLOOKUP(INDIRECT(ADDRESS(2,COLUMN())),OFFSET($BN$2,0,0,ROW()-1,60),ROW()-1,FALSE))</f>
        <v>225138.533</v>
      </c>
      <c r="P112">
        <f ca="1">IF(AND(ISNUMBER($P$249),$B$145=1),$P$249,HLOOKUP(INDIRECT(ADDRESS(2,COLUMN())),OFFSET($BN$2,0,0,ROW()-1,60),ROW()-1,FALSE))</f>
        <v>227186.68100000001</v>
      </c>
      <c r="Q112">
        <f ca="1">IF(AND(ISNUMBER($Q$249),$B$145=1),$Q$249,HLOOKUP(INDIRECT(ADDRESS(2,COLUMN())),OFFSET($BN$2,0,0,ROW()-1,60),ROW()-1,FALSE))</f>
        <v>192471.58499999999</v>
      </c>
      <c r="R112">
        <f ca="1">IF(AND(ISNUMBER($R$249),$B$145=1),$R$249,HLOOKUP(INDIRECT(ADDRESS(2,COLUMN())),OFFSET($BN$2,0,0,ROW()-1,60),ROW()-1,FALSE))</f>
        <v>188708.50200000001</v>
      </c>
      <c r="S112">
        <f ca="1">IF(AND(ISNUMBER($S$249),$B$145=1),$S$249,HLOOKUP(INDIRECT(ADDRESS(2,COLUMN())),OFFSET($BN$2,0,0,ROW()-1,60),ROW()-1,FALSE))</f>
        <v>187548.62400000001</v>
      </c>
      <c r="T112">
        <f ca="1">IF(AND(ISNUMBER($T$249),$B$145=1),$T$249,HLOOKUP(INDIRECT(ADDRESS(2,COLUMN())),OFFSET($BN$2,0,0,ROW()-1,60),ROW()-1,FALSE))</f>
        <v>185540.96299999999</v>
      </c>
      <c r="U112">
        <f ca="1">IF(AND(ISNUMBER($U$249),$B$145=1),$U$249,HLOOKUP(INDIRECT(ADDRESS(2,COLUMN())),OFFSET($BN$2,0,0,ROW()-1,60),ROW()-1,FALSE))</f>
        <v>187601.9</v>
      </c>
      <c r="V112">
        <f ca="1">IF(AND(ISNUMBER($V$249),$B$145=1),$V$249,HLOOKUP(INDIRECT(ADDRESS(2,COLUMN())),OFFSET($BN$2,0,0,ROW()-1,60),ROW()-1,FALSE))</f>
        <v>183728.54</v>
      </c>
      <c r="W112">
        <f ca="1">IF(AND(ISNUMBER($W$249),$B$145=1),$W$249,HLOOKUP(INDIRECT(ADDRESS(2,COLUMN())),OFFSET($BN$2,0,0,ROW()-1,60),ROW()-1,FALSE))</f>
        <v>179583.42600000001</v>
      </c>
      <c r="X112">
        <f ca="1">IF(AND(ISNUMBER($X$249),$B$145=1),$X$249,HLOOKUP(INDIRECT(ADDRESS(2,COLUMN())),OFFSET($BN$2,0,0,ROW()-1,60),ROW()-1,FALSE))</f>
        <v>180245.568</v>
      </c>
      <c r="Y112">
        <f ca="1">IF(AND(ISNUMBER($Y$249),$B$145=1),$Y$249,HLOOKUP(INDIRECT(ADDRESS(2,COLUMN())),OFFSET($BN$2,0,0,ROW()-1,60),ROW()-1,FALSE))</f>
        <v>176981.45600000001</v>
      </c>
      <c r="Z112">
        <f ca="1">IF(AND(ISNUMBER($Z$249),$B$145=1),$Z$249,HLOOKUP(INDIRECT(ADDRESS(2,COLUMN())),OFFSET($BN$2,0,0,ROW()-1,60),ROW()-1,FALSE))</f>
        <v>166089.89000000001</v>
      </c>
      <c r="AA112">
        <f ca="1">IF(AND(ISNUMBER($AA$249),$B$145=1),$AA$249,HLOOKUP(INDIRECT(ADDRESS(2,COLUMN())),OFFSET($BN$2,0,0,ROW()-1,60),ROW()-1,FALSE))</f>
        <v>164974.535</v>
      </c>
      <c r="AB112">
        <f ca="1">IF(AND(ISNUMBER($AB$249),$B$145=1),$AB$249,HLOOKUP(INDIRECT(ADDRESS(2,COLUMN())),OFFSET($BN$2,0,0,ROW()-1,60),ROW()-1,FALSE))</f>
        <v>163345.723</v>
      </c>
      <c r="AC112">
        <f ca="1">IF(AND(ISNUMBER($AC$249),$B$145=1),$AC$249,HLOOKUP(INDIRECT(ADDRESS(2,COLUMN())),OFFSET($BN$2,0,0,ROW()-1,60),ROW()-1,FALSE))</f>
        <v>161724.204</v>
      </c>
      <c r="AD112">
        <f ca="1">IF(AND(ISNUMBER($AD$249),$B$145=1),$AD$249,HLOOKUP(INDIRECT(ADDRESS(2,COLUMN())),OFFSET($BN$2,0,0,ROW()-1,60),ROW()-1,FALSE))</f>
        <v>161004.68700000001</v>
      </c>
      <c r="AE112">
        <f ca="1">IF(AND(ISNUMBER($AE$249),$B$145=1),$AE$249,HLOOKUP(INDIRECT(ADDRESS(2,COLUMN())),OFFSET($BN$2,0,0,ROW()-1,60),ROW()-1,FALSE))</f>
        <v>158989.03</v>
      </c>
      <c r="AF112">
        <f ca="1">IF(AND(ISNUMBER($AF$249),$B$145=1),$AF$249,HLOOKUP(INDIRECT(ADDRESS(2,COLUMN())),OFFSET($BN$2,0,0,ROW()-1,60),ROW()-1,FALSE))</f>
        <v>155838.315</v>
      </c>
      <c r="AG112">
        <f ca="1">IF(AND(ISNUMBER($AG$249),$B$145=1),$AG$249,HLOOKUP(INDIRECT(ADDRESS(2,COLUMN())),OFFSET($BN$2,0,0,ROW()-1,60),ROW()-1,FALSE))</f>
        <v>153850.954</v>
      </c>
      <c r="AH112">
        <f ca="1">IF(AND(ISNUMBER($AH$249),$B$145=1),$AH$249,HLOOKUP(INDIRECT(ADDRESS(2,COLUMN())),OFFSET($BN$2,0,0,ROW()-1,60),ROW()-1,FALSE))</f>
        <v>152709.68100000001</v>
      </c>
      <c r="AI112">
        <f ca="1">IF(AND(ISNUMBER($AI$249),$B$145=1),$AI$249,HLOOKUP(INDIRECT(ADDRESS(2,COLUMN())),OFFSET($BN$2,0,0,ROW()-1,60),ROW()-1,FALSE))</f>
        <v>151763.761</v>
      </c>
      <c r="AJ112">
        <f ca="1">IF(AND(ISNUMBER($AJ$249),$B$145=1),$AJ$249,HLOOKUP(INDIRECT(ADDRESS(2,COLUMN())),OFFSET($BN$2,0,0,ROW()-1,60),ROW()-1,FALSE))</f>
        <v>151993.22</v>
      </c>
      <c r="AK112">
        <f ca="1">IF(AND(ISNUMBER($AK$249),$B$145=1),$AK$249,HLOOKUP(INDIRECT(ADDRESS(2,COLUMN())),OFFSET($BN$2,0,0,ROW()-1,60),ROW()-1,FALSE))</f>
        <v>150690.016</v>
      </c>
      <c r="AL112">
        <f ca="1">IF(AND(ISNUMBER($AL$249),$B$145=1),$AL$249,HLOOKUP(INDIRECT(ADDRESS(2,COLUMN())),OFFSET($BN$2,0,0,ROW()-1,60),ROW()-1,FALSE))</f>
        <v>150022.88500000001</v>
      </c>
      <c r="AM112">
        <f ca="1">IF(AND(ISNUMBER($AM$249),$B$145=1),$AM$249,HLOOKUP(INDIRECT(ADDRESS(2,COLUMN())),OFFSET($BN$2,0,0,ROW()-1,60),ROW()-1,FALSE))</f>
        <v>147442.174</v>
      </c>
      <c r="AN112">
        <f ca="1">IF(AND(ISNUMBER($AN$249),$B$145=1),$AN$249,HLOOKUP(INDIRECT(ADDRESS(2,COLUMN())),OFFSET($BN$2,0,0,ROW()-1,60),ROW()-1,FALSE))</f>
        <v>145568.29699999999</v>
      </c>
      <c r="AO112">
        <f ca="1">IF(AND(ISNUMBER($AO$249),$B$145=1),$AO$249,HLOOKUP(INDIRECT(ADDRESS(2,COLUMN())),OFFSET($BN$2,0,0,ROW()-1,60),ROW()-1,FALSE))</f>
        <v>140409.38500000001</v>
      </c>
      <c r="AP112">
        <f ca="1">IF(AND(ISNUMBER($AP$249),$B$145=1),$AP$249,HLOOKUP(INDIRECT(ADDRESS(2,COLUMN())),OFFSET($BN$2,0,0,ROW()-1,60),ROW()-1,FALSE))</f>
        <v>138574.068</v>
      </c>
      <c r="AQ112">
        <f ca="1">IF(AND(ISNUMBER($AQ$249),$B$145=1),$AQ$249,HLOOKUP(INDIRECT(ADDRESS(2,COLUMN())),OFFSET($BN$2,0,0,ROW()-1,60),ROW()-1,FALSE))</f>
        <v>135811.13099999999</v>
      </c>
      <c r="AR112">
        <f ca="1">IF(AND(ISNUMBER($AR$249),$B$145=1),$AR$249,HLOOKUP(INDIRECT(ADDRESS(2,COLUMN())),OFFSET($BN$2,0,0,ROW()-1,60),ROW()-1,FALSE))</f>
        <v>137564.32199999999</v>
      </c>
      <c r="AS112">
        <f ca="1">IF(AND(ISNUMBER($AS$249),$B$145=1),$AS$249,HLOOKUP(INDIRECT(ADDRESS(2,COLUMN())),OFFSET($BN$2,0,0,ROW()-1,60),ROW()-1,FALSE))</f>
        <v>136905.65100000001</v>
      </c>
      <c r="AT112">
        <f ca="1">IF(AND(ISNUMBER($AT$249),$B$145=1),$AT$249,HLOOKUP(INDIRECT(ADDRESS(2,COLUMN())),OFFSET($BN$2,0,0,ROW()-1,60),ROW()-1,FALSE))</f>
        <v>133000.128</v>
      </c>
      <c r="AU112">
        <f ca="1">IF(AND(ISNUMBER($AU$249),$B$145=1),$AU$249,HLOOKUP(INDIRECT(ADDRESS(2,COLUMN())),OFFSET($BN$2,0,0,ROW()-1,60),ROW()-1,FALSE))</f>
        <v>131520.69099999999</v>
      </c>
      <c r="AV112">
        <f ca="1">IF(AND(ISNUMBER($AV$249),$B$145=1),$AV$249,HLOOKUP(INDIRECT(ADDRESS(2,COLUMN())),OFFSET($BN$2,0,0,ROW()-1,60),ROW()-1,FALSE))</f>
        <v>130579.63</v>
      </c>
      <c r="AW112">
        <f ca="1">IF(AND(ISNUMBER($AW$249),$B$145=1),$AW$249,HLOOKUP(INDIRECT(ADDRESS(2,COLUMN())),OFFSET($BN$2,0,0,ROW()-1,60),ROW()-1,FALSE))</f>
        <v>127295.624</v>
      </c>
      <c r="AX112">
        <f ca="1">IF(AND(ISNUMBER($AX$249),$B$145=1),$AX$249,HLOOKUP(INDIRECT(ADDRESS(2,COLUMN())),OFFSET($BN$2,0,0,ROW()-1,60),ROW()-1,FALSE))</f>
        <v>122257.732</v>
      </c>
      <c r="AY112">
        <f ca="1">IF(AND(ISNUMBER($AY$249),$B$145=1),$AY$249,HLOOKUP(INDIRECT(ADDRESS(2,COLUMN())),OFFSET($BN$2,0,0,ROW()-1,60),ROW()-1,FALSE))</f>
        <v>120738.247</v>
      </c>
      <c r="AZ112">
        <f ca="1">IF(AND(ISNUMBER($AZ$249),$B$145=1),$AZ$249,HLOOKUP(INDIRECT(ADDRESS(2,COLUMN())),OFFSET($BN$2,0,0,ROW()-1,60),ROW()-1,FALSE))</f>
        <v>118137.679</v>
      </c>
      <c r="BA112">
        <f ca="1">IF(AND(ISNUMBER($BA$249),$B$145=1),$BA$249,HLOOKUP(INDIRECT(ADDRESS(2,COLUMN())),OFFSET($BN$2,0,0,ROW()-1,60),ROW()-1,FALSE))</f>
        <v>126322.821</v>
      </c>
      <c r="BB112">
        <f ca="1">IF(AND(ISNUMBER($BB$249),$B$145=1),$BB$249,HLOOKUP(INDIRECT(ADDRESS(2,COLUMN())),OFFSET($BN$2,0,0,ROW()-1,60),ROW()-1,FALSE))</f>
        <v>127911.732</v>
      </c>
      <c r="BC112">
        <f ca="1">IF(AND(ISNUMBER($BC$249),$B$145=1),$BC$249,HLOOKUP(INDIRECT(ADDRESS(2,COLUMN())),OFFSET($BN$2,0,0,ROW()-1,60),ROW()-1,FALSE))</f>
        <v>132014.924</v>
      </c>
      <c r="BD112">
        <f ca="1">IF(AND(ISNUMBER($BD$249),$B$145=1),$BD$249,HLOOKUP(INDIRECT(ADDRESS(2,COLUMN())),OFFSET($BN$2,0,0,ROW()-1,60),ROW()-1,FALSE))</f>
        <v>129313.757</v>
      </c>
      <c r="BE112">
        <f ca="1">IF(AND(ISNUMBER($BE$249),$B$145=1),$BE$249,HLOOKUP(INDIRECT(ADDRESS(2,COLUMN())),OFFSET($BN$2,0,0,ROW()-1,60),ROW()-1,FALSE))</f>
        <v>129963.64</v>
      </c>
      <c r="BF112">
        <f ca="1">IF(AND(ISNUMBER($BF$249),$B$145=1),$BF$249,HLOOKUP(INDIRECT(ADDRESS(2,COLUMN())),OFFSET($BN$2,0,0,ROW()-1,60),ROW()-1,FALSE))</f>
        <v>129810.542</v>
      </c>
      <c r="BG112">
        <f ca="1">IF(AND(ISNUMBER($BG$249),$B$145=1),$BG$249,HLOOKUP(INDIRECT(ADDRESS(2,COLUMN())),OFFSET($BN$2,0,0,ROW()-1,60),ROW()-1,FALSE))</f>
        <v>130660.891</v>
      </c>
      <c r="BH112">
        <f ca="1">IF(AND(ISNUMBER($BH$249),$B$145=1),$BH$249,HLOOKUP(INDIRECT(ADDRESS(2,COLUMN())),OFFSET($BN$2,0,0,ROW()-1,60),ROW()-1,FALSE))</f>
        <v>131799.704</v>
      </c>
      <c r="BI112">
        <f ca="1">IF(AND(ISNUMBER($BI$249),$B$145=1),$BI$249,HLOOKUP(INDIRECT(ADDRESS(2,COLUMN())),OFFSET($BN$2,0,0,ROW()-1,60),ROW()-1,FALSE))</f>
        <v>131971.261</v>
      </c>
      <c r="BJ112">
        <f ca="1">IF(AND(ISNUMBER($BJ$249),$B$145=1),$BJ$249,HLOOKUP(INDIRECT(ADDRESS(2,COLUMN())),OFFSET($BN$2,0,0,ROW()-1,60),ROW()-1,FALSE))</f>
        <v>129969.527</v>
      </c>
      <c r="BK112">
        <f ca="1">IF(AND(ISNUMBER($BK$249),$B$145=1),$BK$249,HLOOKUP(INDIRECT(ADDRESS(2,COLUMN())),OFFSET($BN$2,0,0,ROW()-1,60),ROW()-1,FALSE))</f>
        <v>136117.75899999999</v>
      </c>
      <c r="BL112">
        <f ca="1">IF(AND(ISNUMBER($BL$249),$B$145=1),$BL$249,HLOOKUP(INDIRECT(ADDRESS(2,COLUMN())),OFFSET($BN$2,0,0,ROW()-1,60),ROW()-1,FALSE))</f>
        <v>140019.495</v>
      </c>
      <c r="BM112" t="str">
        <f ca="1">IF(AND(ISNUMBER($BM$249),$B$145=1),$BM$249,HLOOKUP(INDIRECT(ADDRESS(2,COLUMN())),OFFSET($BN$2,0,0,ROW()-1,60),ROW()-1,FALSE))</f>
        <v/>
      </c>
      <c r="BN112">
        <f>217935.962</f>
        <v>217935.962</v>
      </c>
      <c r="BO112">
        <f>220309.167</f>
        <v>220309.16699999999</v>
      </c>
      <c r="BP112">
        <f>220373.586</f>
        <v>220373.58600000001</v>
      </c>
      <c r="BQ112">
        <f>220862.002</f>
        <v>220862.00200000001</v>
      </c>
      <c r="BR112">
        <f>222411.872</f>
        <v>222411.872</v>
      </c>
      <c r="BS112">
        <f>225635.456</f>
        <v>225635.45600000001</v>
      </c>
      <c r="BT112">
        <f>223468.136</f>
        <v>223468.136</v>
      </c>
      <c r="BU112">
        <f>222655.782</f>
        <v>222655.78200000001</v>
      </c>
      <c r="BV112">
        <f>227087.186</f>
        <v>227087.18599999999</v>
      </c>
      <c r="BW112">
        <f>225138.533</f>
        <v>225138.533</v>
      </c>
      <c r="BX112">
        <f>227186.681</f>
        <v>227186.68100000001</v>
      </c>
      <c r="BY112">
        <f>192471.585</f>
        <v>192471.58499999999</v>
      </c>
      <c r="BZ112">
        <f>188708.502</f>
        <v>188708.50200000001</v>
      </c>
      <c r="CA112">
        <f>187548.624</f>
        <v>187548.62400000001</v>
      </c>
      <c r="CB112">
        <f>185540.963</f>
        <v>185540.96299999999</v>
      </c>
      <c r="CC112">
        <f>187601.9</f>
        <v>187601.9</v>
      </c>
      <c r="CD112">
        <f>183728.54</f>
        <v>183728.54</v>
      </c>
      <c r="CE112">
        <f>179583.426</f>
        <v>179583.42600000001</v>
      </c>
      <c r="CF112">
        <f>180245.568</f>
        <v>180245.568</v>
      </c>
      <c r="CG112">
        <f>176981.456</f>
        <v>176981.45600000001</v>
      </c>
      <c r="CH112">
        <f>166089.89</f>
        <v>166089.89000000001</v>
      </c>
      <c r="CI112">
        <f>164974.535</f>
        <v>164974.535</v>
      </c>
      <c r="CJ112">
        <f>163345.723</f>
        <v>163345.723</v>
      </c>
      <c r="CK112">
        <f>161724.204</f>
        <v>161724.204</v>
      </c>
      <c r="CL112">
        <f>161004.687</f>
        <v>161004.68700000001</v>
      </c>
      <c r="CM112">
        <f>158989.03</f>
        <v>158989.03</v>
      </c>
      <c r="CN112">
        <f>155838.315</f>
        <v>155838.315</v>
      </c>
      <c r="CO112">
        <f>153850.954</f>
        <v>153850.954</v>
      </c>
      <c r="CP112">
        <f>152709.681</f>
        <v>152709.68100000001</v>
      </c>
      <c r="CQ112">
        <f>151763.761</f>
        <v>151763.761</v>
      </c>
      <c r="CR112">
        <f>151993.22</f>
        <v>151993.22</v>
      </c>
      <c r="CS112">
        <f>150690.016</f>
        <v>150690.016</v>
      </c>
      <c r="CT112">
        <f>150022.885</f>
        <v>150022.88500000001</v>
      </c>
      <c r="CU112">
        <f>147442.174</f>
        <v>147442.174</v>
      </c>
      <c r="CV112">
        <f>145568.297</f>
        <v>145568.29699999999</v>
      </c>
      <c r="CW112">
        <f>140409.385</f>
        <v>140409.38500000001</v>
      </c>
      <c r="CX112">
        <f>138574.068</f>
        <v>138574.068</v>
      </c>
      <c r="CY112">
        <f>135811.131</f>
        <v>135811.13099999999</v>
      </c>
      <c r="CZ112">
        <f>137564.322</f>
        <v>137564.32199999999</v>
      </c>
      <c r="DA112">
        <f>136905.651</f>
        <v>136905.65100000001</v>
      </c>
      <c r="DB112">
        <f>133000.128</f>
        <v>133000.128</v>
      </c>
      <c r="DC112">
        <f>131520.691</f>
        <v>131520.69099999999</v>
      </c>
      <c r="DD112">
        <f>130579.63</f>
        <v>130579.63</v>
      </c>
      <c r="DE112">
        <f>127295.624</f>
        <v>127295.624</v>
      </c>
      <c r="DF112">
        <f>122257.732</f>
        <v>122257.732</v>
      </c>
      <c r="DG112">
        <f>120738.247</f>
        <v>120738.247</v>
      </c>
      <c r="DH112">
        <f>118137.679</f>
        <v>118137.679</v>
      </c>
      <c r="DI112">
        <f>126322.821</f>
        <v>126322.821</v>
      </c>
      <c r="DJ112">
        <f>127911.732</f>
        <v>127911.732</v>
      </c>
      <c r="DK112">
        <f>132014.924</f>
        <v>132014.924</v>
      </c>
      <c r="DL112">
        <f>129313.757</f>
        <v>129313.757</v>
      </c>
      <c r="DM112">
        <f>129963.64</f>
        <v>129963.64</v>
      </c>
      <c r="DN112">
        <f>129810.542</f>
        <v>129810.542</v>
      </c>
      <c r="DO112">
        <f>130660.891</f>
        <v>130660.891</v>
      </c>
      <c r="DP112">
        <f>131799.704</f>
        <v>131799.704</v>
      </c>
      <c r="DQ112">
        <f>131971.261</f>
        <v>131971.261</v>
      </c>
      <c r="DR112">
        <f>129969.527</f>
        <v>129969.527</v>
      </c>
      <c r="DS112">
        <f>136117.759</f>
        <v>136117.75899999999</v>
      </c>
      <c r="DT112">
        <f>140019.495</f>
        <v>140019.495</v>
      </c>
      <c r="DU112" t="str">
        <f>""</f>
        <v/>
      </c>
    </row>
    <row r="113" spans="1:125" x14ac:dyDescent="0.25">
      <c r="A113" t="str">
        <f>"            Capital One Financial Corp"</f>
        <v xml:space="preserve">            Capital One Financial Corp</v>
      </c>
      <c r="B113" t="str">
        <f>"COF US Equity"</f>
        <v>COF US Equity</v>
      </c>
      <c r="C113" t="str">
        <f t="shared" si="16"/>
        <v>FC001</v>
      </c>
      <c r="D113" t="str">
        <f t="shared" si="17"/>
        <v>FDIC_TOTAL_ASSETS</v>
      </c>
      <c r="E113" t="str">
        <f t="shared" si="18"/>
        <v>Dynamic</v>
      </c>
      <c r="F113">
        <f ca="1">IF(AND(ISNUMBER($F$250),$B$145=1),$F$250,HLOOKUP(INDIRECT(ADDRESS(2,COLUMN())),OFFSET($BN$2,0,0,ROW()-1,60),ROW()-1,FALSE))</f>
        <v>490144.03200000001</v>
      </c>
      <c r="G113">
        <f ca="1">IF(AND(ISNUMBER($G$250),$B$145=1),$G$250,HLOOKUP(INDIRECT(ADDRESS(2,COLUMN())),OFFSET($BN$2,0,0,ROW()-1,60),ROW()-1,FALSE))</f>
        <v>486432.79599999997</v>
      </c>
      <c r="H113">
        <f ca="1">IF(AND(ISNUMBER($H$250),$B$145=1),$H$250,HLOOKUP(INDIRECT(ADDRESS(2,COLUMN())),OFFSET($BN$2,0,0,ROW()-1,60),ROW()-1,FALSE))</f>
        <v>480017.82199999999</v>
      </c>
      <c r="I113">
        <f ca="1">IF(AND(ISNUMBER($I$250),$B$145=1),$I$250,HLOOKUP(INDIRECT(ADDRESS(2,COLUMN())),OFFSET($BN$2,0,0,ROW()-1,60),ROW()-1,FALSE))</f>
        <v>481719.68400000001</v>
      </c>
      <c r="J113">
        <f ca="1">IF(AND(ISNUMBER($J$250),$B$145=1),$J$250,HLOOKUP(INDIRECT(ADDRESS(2,COLUMN())),OFFSET($BN$2,0,0,ROW()-1,60),ROW()-1,FALSE))</f>
        <v>478464.223</v>
      </c>
      <c r="K113">
        <f ca="1">IF(AND(ISNUMBER($K$250),$B$145=1),$K$250,HLOOKUP(INDIRECT(ADDRESS(2,COLUMN())),OFFSET($BN$2,0,0,ROW()-1,60),ROW()-1,FALSE))</f>
        <v>471434.73700000002</v>
      </c>
      <c r="L113">
        <f ca="1">IF(AND(ISNUMBER($L$250),$B$145=1),$L$250,HLOOKUP(INDIRECT(ADDRESS(2,COLUMN())),OFFSET($BN$2,0,0,ROW()-1,60),ROW()-1,FALSE))</f>
        <v>467799.62300000002</v>
      </c>
      <c r="M113">
        <f ca="1">IF(AND(ISNUMBER($M$250),$B$145=1),$M$250,HLOOKUP(INDIRECT(ADDRESS(2,COLUMN())),OFFSET($BN$2,0,0,ROW()-1,60),ROW()-1,FALSE))</f>
        <v>471660.065</v>
      </c>
      <c r="N113">
        <f ca="1">IF(AND(ISNUMBER($N$250),$B$145=1),$N$250,HLOOKUP(INDIRECT(ADDRESS(2,COLUMN())),OFFSET($BN$2,0,0,ROW()-1,60),ROW()-1,FALSE))</f>
        <v>455249.08</v>
      </c>
      <c r="O113">
        <f ca="1">IF(AND(ISNUMBER($O$250),$B$145=1),$O$250,HLOOKUP(INDIRECT(ADDRESS(2,COLUMN())),OFFSET($BN$2,0,0,ROW()-1,60),ROW()-1,FALSE))</f>
        <v>444232.09899999999</v>
      </c>
      <c r="P113">
        <f ca="1">IF(AND(ISNUMBER($P$250),$B$145=1),$P$250,HLOOKUP(INDIRECT(ADDRESS(2,COLUMN())),OFFSET($BN$2,0,0,ROW()-1,60),ROW()-1,FALSE))</f>
        <v>440287.66700000002</v>
      </c>
      <c r="Q113">
        <f ca="1">IF(AND(ISNUMBER($Q$250),$B$145=1),$Q$250,HLOOKUP(INDIRECT(ADDRESS(2,COLUMN())),OFFSET($BN$2,0,0,ROW()-1,60),ROW()-1,FALSE))</f>
        <v>434195.24900000001</v>
      </c>
      <c r="R113">
        <f ca="1">IF(AND(ISNUMBER($R$250),$B$145=1),$R$250,HLOOKUP(INDIRECT(ADDRESS(2,COLUMN())),OFFSET($BN$2,0,0,ROW()-1,60),ROW()-1,FALSE))</f>
        <v>432381.054</v>
      </c>
      <c r="S113">
        <f ca="1">IF(AND(ISNUMBER($S$250),$B$145=1),$S$250,HLOOKUP(INDIRECT(ADDRESS(2,COLUMN())),OFFSET($BN$2,0,0,ROW()-1,60),ROW()-1,FALSE))</f>
        <v>425377.45500000002</v>
      </c>
      <c r="T113">
        <f ca="1">IF(AND(ISNUMBER($T$250),$B$145=1),$T$250,HLOOKUP(INDIRECT(ADDRESS(2,COLUMN())),OFFSET($BN$2,0,0,ROW()-1,60),ROW()-1,FALSE))</f>
        <v>423420.28899999999</v>
      </c>
      <c r="U113">
        <f ca="1">IF(AND(ISNUMBER($U$250),$B$145=1),$U$250,HLOOKUP(INDIRECT(ADDRESS(2,COLUMN())),OFFSET($BN$2,0,0,ROW()-1,60),ROW()-1,FALSE))</f>
        <v>425175.12199999997</v>
      </c>
      <c r="V113">
        <f ca="1">IF(AND(ISNUMBER($V$250),$B$145=1),$V$250,HLOOKUP(INDIRECT(ADDRESS(2,COLUMN())),OFFSET($BN$2,0,0,ROW()-1,60),ROW()-1,FALSE))</f>
        <v>421602.06599999999</v>
      </c>
      <c r="W113">
        <f ca="1">IF(AND(ISNUMBER($W$250),$B$145=1),$W$250,HLOOKUP(INDIRECT(ADDRESS(2,COLUMN())),OFFSET($BN$2,0,0,ROW()-1,60),ROW()-1,FALSE))</f>
        <v>421882.80900000001</v>
      </c>
      <c r="X113">
        <f ca="1">IF(AND(ISNUMBER($X$250),$B$145=1),$X$250,HLOOKUP(INDIRECT(ADDRESS(2,COLUMN())),OFFSET($BN$2,0,0,ROW()-1,60),ROW()-1,FALSE))</f>
        <v>421296.04700000002</v>
      </c>
      <c r="Y113">
        <f ca="1">IF(AND(ISNUMBER($Y$250),$B$145=1),$Y$250,HLOOKUP(INDIRECT(ADDRESS(2,COLUMN())),OFFSET($BN$2,0,0,ROW()-1,60),ROW()-1,FALSE))</f>
        <v>396878.03100000002</v>
      </c>
      <c r="Z113">
        <f ca="1">IF(AND(ISNUMBER($Z$250),$B$145=1),$Z$250,HLOOKUP(INDIRECT(ADDRESS(2,COLUMN())),OFFSET($BN$2,0,0,ROW()-1,60),ROW()-1,FALSE))</f>
        <v>390364.86599999998</v>
      </c>
      <c r="AA113">
        <f ca="1">IF(AND(ISNUMBER($AA$250),$B$145=1),$AA$250,HLOOKUP(INDIRECT(ADDRESS(2,COLUMN())),OFFSET($BN$2,0,0,ROW()-1,60),ROW()-1,FALSE))</f>
        <v>378810.38699999999</v>
      </c>
      <c r="AB113">
        <f ca="1">IF(AND(ISNUMBER($AB$250),$B$145=1),$AB$250,HLOOKUP(INDIRECT(ADDRESS(2,COLUMN())),OFFSET($BN$2,0,0,ROW()-1,60),ROW()-1,FALSE))</f>
        <v>373618.924</v>
      </c>
      <c r="AC113">
        <f ca="1">IF(AND(ISNUMBER($AC$250),$B$145=1),$AC$250,HLOOKUP(INDIRECT(ADDRESS(2,COLUMN())),OFFSET($BN$2,0,0,ROW()-1,60),ROW()-1,FALSE))</f>
        <v>373191.353</v>
      </c>
      <c r="AD113">
        <f ca="1">IF(AND(ISNUMBER($AD$250),$B$145=1),$AD$250,HLOOKUP(INDIRECT(ADDRESS(2,COLUMN())),OFFSET($BN$2,0,0,ROW()-1,60),ROW()-1,FALSE))</f>
        <v>372537.59700000001</v>
      </c>
      <c r="AE113">
        <f ca="1">IF(AND(ISNUMBER($AE$250),$B$145=1),$AE$250,HLOOKUP(INDIRECT(ADDRESS(2,COLUMN())),OFFSET($BN$2,0,0,ROW()-1,60),ROW()-1,FALSE))</f>
        <v>362909.35600000003</v>
      </c>
      <c r="AF113">
        <f ca="1">IF(AND(ISNUMBER($AF$250),$B$145=1),$AF$250,HLOOKUP(INDIRECT(ADDRESS(2,COLUMN())),OFFSET($BN$2,0,0,ROW()-1,60),ROW()-1,FALSE))</f>
        <v>363989.30200000003</v>
      </c>
      <c r="AG113">
        <f ca="1">IF(AND(ISNUMBER($AG$250),$B$145=1),$AG$250,HLOOKUP(INDIRECT(ADDRESS(2,COLUMN())),OFFSET($BN$2,0,0,ROW()-1,60),ROW()-1,FALSE))</f>
        <v>362857.35800000001</v>
      </c>
      <c r="AH113">
        <f ca="1">IF(AND(ISNUMBER($AH$250),$B$145=1),$AH$250,HLOOKUP(INDIRECT(ADDRESS(2,COLUMN())),OFFSET($BN$2,0,0,ROW()-1,60),ROW()-1,FALSE))</f>
        <v>365692.66899999999</v>
      </c>
      <c r="AI113">
        <f ca="1">IF(AND(ISNUMBER($AI$250),$B$145=1),$AI$250,HLOOKUP(INDIRECT(ADDRESS(2,COLUMN())),OFFSET($BN$2,0,0,ROW()-1,60),ROW()-1,FALSE))</f>
        <v>361401.88500000001</v>
      </c>
      <c r="AJ113">
        <f ca="1">IF(AND(ISNUMBER($AJ$250),$B$145=1),$AJ$250,HLOOKUP(INDIRECT(ADDRESS(2,COLUMN())),OFFSET($BN$2,0,0,ROW()-1,60),ROW()-1,FALSE))</f>
        <v>350592.89399999997</v>
      </c>
      <c r="AK113">
        <f ca="1">IF(AND(ISNUMBER($AK$250),$B$145=1),$AK$250,HLOOKUP(INDIRECT(ADDRESS(2,COLUMN())),OFFSET($BN$2,0,0,ROW()-1,60),ROW()-1,FALSE))</f>
        <v>348549.33899999998</v>
      </c>
      <c r="AL113">
        <f ca="1">IF(AND(ISNUMBER($AL$250),$B$145=1),$AL$250,HLOOKUP(INDIRECT(ADDRESS(2,COLUMN())),OFFSET($BN$2,0,0,ROW()-1,60),ROW()-1,FALSE))</f>
        <v>357158.29399999999</v>
      </c>
      <c r="AM113">
        <f ca="1">IF(AND(ISNUMBER($AM$250),$B$145=1),$AM$250,HLOOKUP(INDIRECT(ADDRESS(2,COLUMN())),OFFSET($BN$2,0,0,ROW()-1,60),ROW()-1,FALSE))</f>
        <v>345187.277</v>
      </c>
      <c r="AN113">
        <f ca="1">IF(AND(ISNUMBER($AN$250),$B$145=1),$AN$250,HLOOKUP(INDIRECT(ADDRESS(2,COLUMN())),OFFSET($BN$2,0,0,ROW()-1,60),ROW()-1,FALSE))</f>
        <v>339247.71799999999</v>
      </c>
      <c r="AO113">
        <f ca="1">IF(AND(ISNUMBER($AO$250),$B$145=1),$AO$250,HLOOKUP(INDIRECT(ADDRESS(2,COLUMN())),OFFSET($BN$2,0,0,ROW()-1,60),ROW()-1,FALSE))</f>
        <v>330489.23499999999</v>
      </c>
      <c r="AP113">
        <f ca="1">IF(AND(ISNUMBER($AP$250),$B$145=1),$AP$250,HLOOKUP(INDIRECT(ADDRESS(2,COLUMN())),OFFSET($BN$2,0,0,ROW()-1,60),ROW()-1,FALSE))</f>
        <v>334179.91600000003</v>
      </c>
      <c r="AQ113">
        <f ca="1">IF(AND(ISNUMBER($AQ$250),$B$145=1),$AQ$250,HLOOKUP(INDIRECT(ADDRESS(2,COLUMN())),OFFSET($BN$2,0,0,ROW()-1,60),ROW()-1,FALSE))</f>
        <v>313827.58399999997</v>
      </c>
      <c r="AR113">
        <f ca="1">IF(AND(ISNUMBER($AR$250),$B$145=1),$AR$250,HLOOKUP(INDIRECT(ADDRESS(2,COLUMN())),OFFSET($BN$2,0,0,ROW()-1,60),ROW()-1,FALSE))</f>
        <v>310636.49699999997</v>
      </c>
      <c r="AS113">
        <f ca="1">IF(AND(ISNUMBER($AS$250),$B$145=1),$AS$250,HLOOKUP(INDIRECT(ADDRESS(2,COLUMN())),OFFSET($BN$2,0,0,ROW()-1,60),ROW()-1,FALSE))</f>
        <v>306501.32400000002</v>
      </c>
      <c r="AT113">
        <f ca="1">IF(AND(ISNUMBER($AT$250),$B$145=1),$AT$250,HLOOKUP(INDIRECT(ADDRESS(2,COLUMN())),OFFSET($BN$2,0,0,ROW()-1,60),ROW()-1,FALSE))</f>
        <v>309083.48100000003</v>
      </c>
      <c r="AU113">
        <f ca="1">IF(AND(ISNUMBER($AU$250),$B$145=1),$AU$250,HLOOKUP(INDIRECT(ADDRESS(2,COLUMN())),OFFSET($BN$2,0,0,ROW()-1,60),ROW()-1,FALSE))</f>
        <v>300444.02</v>
      </c>
      <c r="AV113">
        <f ca="1">IF(AND(ISNUMBER($AV$250),$B$145=1),$AV$250,HLOOKUP(INDIRECT(ADDRESS(2,COLUMN())),OFFSET($BN$2,0,0,ROW()-1,60),ROW()-1,FALSE))</f>
        <v>298653.92800000001</v>
      </c>
      <c r="AW113">
        <f ca="1">IF(AND(ISNUMBER($AW$250),$B$145=1),$AW$250,HLOOKUP(INDIRECT(ADDRESS(2,COLUMN())),OFFSET($BN$2,0,0,ROW()-1,60),ROW()-1,FALSE))</f>
        <v>290886.18</v>
      </c>
      <c r="AX113">
        <f ca="1">IF(AND(ISNUMBER($AX$250),$B$145=1),$AX$250,HLOOKUP(INDIRECT(ADDRESS(2,COLUMN())),OFFSET($BN$2,0,0,ROW()-1,60),ROW()-1,FALSE))</f>
        <v>297282.098</v>
      </c>
      <c r="AY113">
        <f ca="1">IF(AND(ISNUMBER($AY$250),$B$145=1),$AY$250,HLOOKUP(INDIRECT(ADDRESS(2,COLUMN())),OFFSET($BN$2,0,0,ROW()-1,60),ROW()-1,FALSE))</f>
        <v>290217.68699999998</v>
      </c>
      <c r="AZ113">
        <f ca="1">IF(AND(ISNUMBER($AZ$250),$B$145=1),$AZ$250,HLOOKUP(INDIRECT(ADDRESS(2,COLUMN())),OFFSET($BN$2,0,0,ROW()-1,60),ROW()-1,FALSE))</f>
        <v>296670.31400000001</v>
      </c>
      <c r="BA113">
        <f ca="1">IF(AND(ISNUMBER($BA$250),$B$145=1),$BA$250,HLOOKUP(INDIRECT(ADDRESS(2,COLUMN())),OFFSET($BN$2,0,0,ROW()-1,60),ROW()-1,FALSE))</f>
        <v>300293.69900000002</v>
      </c>
      <c r="BB113">
        <f ca="1">IF(AND(ISNUMBER($BB$250),$B$145=1),$BB$250,HLOOKUP(INDIRECT(ADDRESS(2,COLUMN())),OFFSET($BN$2,0,0,ROW()-1,60),ROW()-1,FALSE))</f>
        <v>313040.68800000002</v>
      </c>
      <c r="BC113">
        <f ca="1">IF(AND(ISNUMBER($BC$250),$B$145=1),$BC$250,HLOOKUP(INDIRECT(ADDRESS(2,COLUMN())),OFFSET($BN$2,0,0,ROW()-1,60),ROW()-1,FALSE))</f>
        <v>302114.103</v>
      </c>
      <c r="BD113">
        <f ca="1">IF(AND(ISNUMBER($BD$250),$B$145=1),$BD$250,HLOOKUP(INDIRECT(ADDRESS(2,COLUMN())),OFFSET($BN$2,0,0,ROW()-1,60),ROW()-1,FALSE))</f>
        <v>296698.16800000001</v>
      </c>
      <c r="BE113">
        <f ca="1">IF(AND(ISNUMBER($BE$250),$B$145=1),$BE$250,HLOOKUP(INDIRECT(ADDRESS(2,COLUMN())),OFFSET($BN$2,0,0,ROW()-1,60),ROW()-1,FALSE))</f>
        <v>294573.73100000003</v>
      </c>
      <c r="BF113">
        <f ca="1">IF(AND(ISNUMBER($BF$250),$B$145=1),$BF$250,HLOOKUP(INDIRECT(ADDRESS(2,COLUMN())),OFFSET($BN$2,0,0,ROW()-1,60),ROW()-1,FALSE))</f>
        <v>206103.658</v>
      </c>
      <c r="BG113">
        <f ca="1">IF(AND(ISNUMBER($BG$250),$B$145=1),$BG$250,HLOOKUP(INDIRECT(ADDRESS(2,COLUMN())),OFFSET($BN$2,0,0,ROW()-1,60),ROW()-1,FALSE))</f>
        <v>200148.49600000001</v>
      </c>
      <c r="BH113">
        <f ca="1">IF(AND(ISNUMBER($BH$250),$B$145=1),$BH$250,HLOOKUP(INDIRECT(ADDRESS(2,COLUMN())),OFFSET($BN$2,0,0,ROW()-1,60),ROW()-1,FALSE))</f>
        <v>199753.11300000001</v>
      </c>
      <c r="BI113">
        <f ca="1">IF(AND(ISNUMBER($BI$250),$B$145=1),$BI$250,HLOOKUP(INDIRECT(ADDRESS(2,COLUMN())),OFFSET($BN$2,0,0,ROW()-1,60),ROW()-1,FALSE))</f>
        <v>199300.23800000001</v>
      </c>
      <c r="BJ113">
        <f ca="1">IF(AND(ISNUMBER($BJ$250),$B$145=1),$BJ$250,HLOOKUP(INDIRECT(ADDRESS(2,COLUMN())),OFFSET($BN$2,0,0,ROW()-1,60),ROW()-1,FALSE))</f>
        <v>197503.41099999999</v>
      </c>
      <c r="BK113">
        <f ca="1">IF(AND(ISNUMBER($BK$250),$B$145=1),$BK$250,HLOOKUP(INDIRECT(ADDRESS(2,COLUMN())),OFFSET($BN$2,0,0,ROW()-1,60),ROW()-1,FALSE))</f>
        <v>196932.74900000001</v>
      </c>
      <c r="BL113">
        <f ca="1">IF(AND(ISNUMBER($BL$250),$B$145=1),$BL$250,HLOOKUP(INDIRECT(ADDRESS(2,COLUMN())),OFFSET($BN$2,0,0,ROW()-1,60),ROW()-1,FALSE))</f>
        <v>197488.67800000001</v>
      </c>
      <c r="BM113" t="str">
        <f ca="1">IF(AND(ISNUMBER($BM$250),$B$145=1),$BM$250,HLOOKUP(INDIRECT(ADDRESS(2,COLUMN())),OFFSET($BN$2,0,0,ROW()-1,60),ROW()-1,FALSE))</f>
        <v/>
      </c>
      <c r="BN113">
        <f>490144.032</f>
        <v>490144.03200000001</v>
      </c>
      <c r="BO113">
        <f>486432.796</f>
        <v>486432.79599999997</v>
      </c>
      <c r="BP113">
        <f>480017.822</f>
        <v>480017.82199999999</v>
      </c>
      <c r="BQ113">
        <f>481719.684</f>
        <v>481719.68400000001</v>
      </c>
      <c r="BR113">
        <f>478464.223</f>
        <v>478464.223</v>
      </c>
      <c r="BS113">
        <f>471434.737</f>
        <v>471434.73700000002</v>
      </c>
      <c r="BT113">
        <f>467799.623</f>
        <v>467799.62300000002</v>
      </c>
      <c r="BU113">
        <f>471660.065</f>
        <v>471660.065</v>
      </c>
      <c r="BV113">
        <f>455249.08</f>
        <v>455249.08</v>
      </c>
      <c r="BW113">
        <f>444232.099</f>
        <v>444232.09899999999</v>
      </c>
      <c r="BX113">
        <f>440287.667</f>
        <v>440287.66700000002</v>
      </c>
      <c r="BY113">
        <f>434195.249</f>
        <v>434195.24900000001</v>
      </c>
      <c r="BZ113">
        <f>432381.054</f>
        <v>432381.054</v>
      </c>
      <c r="CA113">
        <f>425377.455</f>
        <v>425377.45500000002</v>
      </c>
      <c r="CB113">
        <f>423420.289</f>
        <v>423420.28899999999</v>
      </c>
      <c r="CC113">
        <f>425175.122</f>
        <v>425175.12199999997</v>
      </c>
      <c r="CD113">
        <f>421602.066</f>
        <v>421602.06599999999</v>
      </c>
      <c r="CE113">
        <f>421882.809</f>
        <v>421882.80900000001</v>
      </c>
      <c r="CF113">
        <f>421296.047</f>
        <v>421296.04700000002</v>
      </c>
      <c r="CG113">
        <f>396878.031</f>
        <v>396878.03100000002</v>
      </c>
      <c r="CH113">
        <f>390364.866</f>
        <v>390364.86599999998</v>
      </c>
      <c r="CI113">
        <f>378810.387</f>
        <v>378810.38699999999</v>
      </c>
      <c r="CJ113">
        <f>373618.924</f>
        <v>373618.924</v>
      </c>
      <c r="CK113">
        <f>373191.353</f>
        <v>373191.353</v>
      </c>
      <c r="CL113">
        <f>372537.597</f>
        <v>372537.59700000001</v>
      </c>
      <c r="CM113">
        <f>362909.356</f>
        <v>362909.35600000003</v>
      </c>
      <c r="CN113">
        <f>363989.302</f>
        <v>363989.30200000003</v>
      </c>
      <c r="CO113">
        <f>362857.358</f>
        <v>362857.35800000001</v>
      </c>
      <c r="CP113">
        <f>365692.669</f>
        <v>365692.66899999999</v>
      </c>
      <c r="CQ113">
        <f>361401.885</f>
        <v>361401.88500000001</v>
      </c>
      <c r="CR113">
        <f>350592.894</f>
        <v>350592.89399999997</v>
      </c>
      <c r="CS113">
        <f>348549.339</f>
        <v>348549.33899999998</v>
      </c>
      <c r="CT113">
        <f>357158.294</f>
        <v>357158.29399999999</v>
      </c>
      <c r="CU113">
        <f>345187.277</f>
        <v>345187.277</v>
      </c>
      <c r="CV113">
        <f>339247.718</f>
        <v>339247.71799999999</v>
      </c>
      <c r="CW113">
        <f>330489.235</f>
        <v>330489.23499999999</v>
      </c>
      <c r="CX113">
        <f>334179.916</f>
        <v>334179.91600000003</v>
      </c>
      <c r="CY113">
        <f>313827.584</f>
        <v>313827.58399999997</v>
      </c>
      <c r="CZ113">
        <f>310636.497</f>
        <v>310636.49699999997</v>
      </c>
      <c r="DA113">
        <f>306501.324</f>
        <v>306501.32400000002</v>
      </c>
      <c r="DB113">
        <f>309083.481</f>
        <v>309083.48100000003</v>
      </c>
      <c r="DC113">
        <f>300444.02</f>
        <v>300444.02</v>
      </c>
      <c r="DD113">
        <f>298653.928</f>
        <v>298653.92800000001</v>
      </c>
      <c r="DE113">
        <f>290886.18</f>
        <v>290886.18</v>
      </c>
      <c r="DF113">
        <f>297282.098</f>
        <v>297282.098</v>
      </c>
      <c r="DG113">
        <f>290217.687</f>
        <v>290217.68699999998</v>
      </c>
      <c r="DH113">
        <f>296670.314</f>
        <v>296670.31400000001</v>
      </c>
      <c r="DI113">
        <f>300293.699</f>
        <v>300293.69900000002</v>
      </c>
      <c r="DJ113">
        <f>313040.688</f>
        <v>313040.68800000002</v>
      </c>
      <c r="DK113">
        <f>302114.103</f>
        <v>302114.103</v>
      </c>
      <c r="DL113">
        <f>296698.168</f>
        <v>296698.16800000001</v>
      </c>
      <c r="DM113">
        <f>294573.731</f>
        <v>294573.73100000003</v>
      </c>
      <c r="DN113">
        <f>206103.658</f>
        <v>206103.658</v>
      </c>
      <c r="DO113">
        <f>200148.496</f>
        <v>200148.49600000001</v>
      </c>
      <c r="DP113">
        <f>199753.113</f>
        <v>199753.11300000001</v>
      </c>
      <c r="DQ113">
        <f>199300.238</f>
        <v>199300.23800000001</v>
      </c>
      <c r="DR113">
        <f>197503.411</f>
        <v>197503.41099999999</v>
      </c>
      <c r="DS113">
        <f>196932.749</f>
        <v>196932.74900000001</v>
      </c>
      <c r="DT113">
        <f>197488.678</f>
        <v>197488.67800000001</v>
      </c>
      <c r="DU113" t="str">
        <f>""</f>
        <v/>
      </c>
    </row>
    <row r="114" spans="1:125" x14ac:dyDescent="0.25">
      <c r="A114" t="str">
        <f>"            Comerica Inc"</f>
        <v xml:space="preserve">            Comerica Inc</v>
      </c>
      <c r="B114" t="str">
        <f>"CMA US Equity"</f>
        <v>CMA US Equity</v>
      </c>
      <c r="C114" t="str">
        <f t="shared" si="16"/>
        <v>FC001</v>
      </c>
      <c r="D114" t="str">
        <f t="shared" si="17"/>
        <v>FDIC_TOTAL_ASSETS</v>
      </c>
      <c r="E114" t="str">
        <f t="shared" si="18"/>
        <v>Dynamic</v>
      </c>
      <c r="F114" t="str">
        <f ca="1">IF(AND(ISNUMBER($F$251),$B$145=1),$F$251,HLOOKUP(INDIRECT(ADDRESS(2,COLUMN())),OFFSET($BN$2,0,0,ROW()-1,60),ROW()-1,FALSE))</f>
        <v/>
      </c>
      <c r="G114" t="str">
        <f ca="1">IF(AND(ISNUMBER($G$251),$B$145=1),$G$251,HLOOKUP(INDIRECT(ADDRESS(2,COLUMN())),OFFSET($BN$2,0,0,ROW()-1,60),ROW()-1,FALSE))</f>
        <v/>
      </c>
      <c r="H114">
        <f ca="1">IF(AND(ISNUMBER($H$251),$B$145=1),$H$251,HLOOKUP(INDIRECT(ADDRESS(2,COLUMN())),OFFSET($BN$2,0,0,ROW()-1,60),ROW()-1,FALSE))</f>
        <v>79792</v>
      </c>
      <c r="I114">
        <f ca="1">IF(AND(ISNUMBER($I$251),$B$145=1),$I$251,HLOOKUP(INDIRECT(ADDRESS(2,COLUMN())),OFFSET($BN$2,0,0,ROW()-1,60),ROW()-1,FALSE))</f>
        <v>79660</v>
      </c>
      <c r="J114">
        <f ca="1">IF(AND(ISNUMBER($J$251),$B$145=1),$J$251,HLOOKUP(INDIRECT(ADDRESS(2,COLUMN())),OFFSET($BN$2,0,0,ROW()-1,60),ROW()-1,FALSE))</f>
        <v>86046</v>
      </c>
      <c r="K114">
        <f ca="1">IF(AND(ISNUMBER($K$251),$B$145=1),$K$251,HLOOKUP(INDIRECT(ADDRESS(2,COLUMN())),OFFSET($BN$2,0,0,ROW()-1,60),ROW()-1,FALSE))</f>
        <v>85909</v>
      </c>
      <c r="L114">
        <f ca="1">IF(AND(ISNUMBER($L$251),$B$145=1),$L$251,HLOOKUP(INDIRECT(ADDRESS(2,COLUMN())),OFFSET($BN$2,0,0,ROW()-1,60),ROW()-1,FALSE))</f>
        <v>90994</v>
      </c>
      <c r="M114">
        <f ca="1">IF(AND(ISNUMBER($M$251),$B$145=1),$M$251,HLOOKUP(INDIRECT(ADDRESS(2,COLUMN())),OFFSET($BN$2,0,0,ROW()-1,60),ROW()-1,FALSE))</f>
        <v>91327</v>
      </c>
      <c r="N114">
        <f ca="1">IF(AND(ISNUMBER($N$251),$B$145=1),$N$251,HLOOKUP(INDIRECT(ADDRESS(2,COLUMN())),OFFSET($BN$2,0,0,ROW()-1,60),ROW()-1,FALSE))</f>
        <v>85648</v>
      </c>
      <c r="O114">
        <f ca="1">IF(AND(ISNUMBER($O$251),$B$145=1),$O$251,HLOOKUP(INDIRECT(ADDRESS(2,COLUMN())),OFFSET($BN$2,0,0,ROW()-1,60),ROW()-1,FALSE))</f>
        <v>84344</v>
      </c>
      <c r="P114">
        <f ca="1">IF(AND(ISNUMBER($P$251),$B$145=1),$P$251,HLOOKUP(INDIRECT(ADDRESS(2,COLUMN())),OFFSET($BN$2,0,0,ROW()-1,60),ROW()-1,FALSE))</f>
        <v>87179</v>
      </c>
      <c r="Q114">
        <f ca="1">IF(AND(ISNUMBER($Q$251),$B$145=1),$Q$251,HLOOKUP(INDIRECT(ADDRESS(2,COLUMN())),OFFSET($BN$2,0,0,ROW()-1,60),ROW()-1,FALSE))</f>
        <v>89318</v>
      </c>
      <c r="R114">
        <f ca="1">IF(AND(ISNUMBER($R$251),$B$145=1),$R$251,HLOOKUP(INDIRECT(ADDRESS(2,COLUMN())),OFFSET($BN$2,0,0,ROW()-1,60),ROW()-1,FALSE))</f>
        <v>95001</v>
      </c>
      <c r="S114">
        <f ca="1">IF(AND(ISNUMBER($S$251),$B$145=1),$S$251,HLOOKUP(INDIRECT(ADDRESS(2,COLUMN())),OFFSET($BN$2,0,0,ROW()-1,60),ROW()-1,FALSE))</f>
        <v>94722</v>
      </c>
      <c r="T114">
        <f ca="1">IF(AND(ISNUMBER($T$251),$B$145=1),$T$251,HLOOKUP(INDIRECT(ADDRESS(2,COLUMN())),OFFSET($BN$2,0,0,ROW()-1,60),ROW()-1,FALSE))</f>
        <v>88515</v>
      </c>
      <c r="U114">
        <f ca="1">IF(AND(ISNUMBER($U$251),$B$145=1),$U$251,HLOOKUP(INDIRECT(ADDRESS(2,COLUMN())),OFFSET($BN$2,0,0,ROW()-1,60),ROW()-1,FALSE))</f>
        <v>86475</v>
      </c>
      <c r="V114">
        <f ca="1">IF(AND(ISNUMBER($V$251),$B$145=1),$V$251,HLOOKUP(INDIRECT(ADDRESS(2,COLUMN())),OFFSET($BN$2,0,0,ROW()-1,60),ROW()-1,FALSE))</f>
        <v>88320</v>
      </c>
      <c r="W114">
        <f ca="1">IF(AND(ISNUMBER($W$251),$B$145=1),$W$251,HLOOKUP(INDIRECT(ADDRESS(2,COLUMN())),OFFSET($BN$2,0,0,ROW()-1,60),ROW()-1,FALSE))</f>
        <v>83791</v>
      </c>
      <c r="X114">
        <f ca="1">IF(AND(ISNUMBER($X$251),$B$145=1),$X$251,HLOOKUP(INDIRECT(ADDRESS(2,COLUMN())),OFFSET($BN$2,0,0,ROW()-1,60),ROW()-1,FALSE))</f>
        <v>84603</v>
      </c>
      <c r="Y114">
        <f ca="1">IF(AND(ISNUMBER($Y$251),$B$145=1),$Y$251,HLOOKUP(INDIRECT(ADDRESS(2,COLUMN())),OFFSET($BN$2,0,0,ROW()-1,60),ROW()-1,FALSE))</f>
        <v>76457</v>
      </c>
      <c r="Z114">
        <f ca="1">IF(AND(ISNUMBER($Z$251),$B$145=1),$Z$251,HLOOKUP(INDIRECT(ADDRESS(2,COLUMN())),OFFSET($BN$2,0,0,ROW()-1,60),ROW()-1,FALSE))</f>
        <v>73519</v>
      </c>
      <c r="AA114">
        <f ca="1">IF(AND(ISNUMBER($AA$251),$B$145=1),$AA$251,HLOOKUP(INDIRECT(ADDRESS(2,COLUMN())),OFFSET($BN$2,0,0,ROW()-1,60),ROW()-1,FALSE))</f>
        <v>73081</v>
      </c>
      <c r="AB114">
        <f ca="1">IF(AND(ISNUMBER($AB$251),$B$145=1),$AB$251,HLOOKUP(INDIRECT(ADDRESS(2,COLUMN())),OFFSET($BN$2,0,0,ROW()-1,60),ROW()-1,FALSE))</f>
        <v>72592</v>
      </c>
      <c r="AC114">
        <f ca="1">IF(AND(ISNUMBER($AC$251),$B$145=1),$AC$251,HLOOKUP(INDIRECT(ADDRESS(2,COLUMN())),OFFSET($BN$2,0,0,ROW()-1,60),ROW()-1,FALSE))</f>
        <v>70796</v>
      </c>
      <c r="AD114">
        <f ca="1">IF(AND(ISNUMBER($AD$251),$B$145=1),$AD$251,HLOOKUP(INDIRECT(ADDRESS(2,COLUMN())),OFFSET($BN$2,0,0,ROW()-1,60),ROW()-1,FALSE))</f>
        <v>70906.002999999997</v>
      </c>
      <c r="AE114">
        <f ca="1">IF(AND(ISNUMBER($AE$251),$B$145=1),$AE$251,HLOOKUP(INDIRECT(ADDRESS(2,COLUMN())),OFFSET($BN$2,0,0,ROW()-1,60),ROW()-1,FALSE))</f>
        <v>71590.232000000004</v>
      </c>
      <c r="AF114">
        <f ca="1">IF(AND(ISNUMBER($AF$251),$B$145=1),$AF$251,HLOOKUP(INDIRECT(ADDRESS(2,COLUMN())),OFFSET($BN$2,0,0,ROW()-1,60),ROW()-1,FALSE))</f>
        <v>72204.035999999993</v>
      </c>
      <c r="AG114">
        <f ca="1">IF(AND(ISNUMBER($AG$251),$B$145=1),$AG$251,HLOOKUP(INDIRECT(ADDRESS(2,COLUMN())),OFFSET($BN$2,0,0,ROW()-1,60),ROW()-1,FALSE))</f>
        <v>72417.712</v>
      </c>
      <c r="AH114">
        <f ca="1">IF(AND(ISNUMBER($AH$251),$B$145=1),$AH$251,HLOOKUP(INDIRECT(ADDRESS(2,COLUMN())),OFFSET($BN$2,0,0,ROW()-1,60),ROW()-1,FALSE))</f>
        <v>71691.611999999994</v>
      </c>
      <c r="AI114">
        <f ca="1">IF(AND(ISNUMBER($AI$251),$B$145=1),$AI$251,HLOOKUP(INDIRECT(ADDRESS(2,COLUMN())),OFFSET($BN$2,0,0,ROW()-1,60),ROW()-1,FALSE))</f>
        <v>72268.505999999994</v>
      </c>
      <c r="AJ114">
        <f ca="1">IF(AND(ISNUMBER($AJ$251),$B$145=1),$AJ$251,HLOOKUP(INDIRECT(ADDRESS(2,COLUMN())),OFFSET($BN$2,0,0,ROW()-1,60),ROW()-1,FALSE))</f>
        <v>71630.277000000002</v>
      </c>
      <c r="AK114">
        <f ca="1">IF(AND(ISNUMBER($AK$251),$B$145=1),$AK$251,HLOOKUP(INDIRECT(ADDRESS(2,COLUMN())),OFFSET($BN$2,0,0,ROW()-1,60),ROW()-1,FALSE))</f>
        <v>73169.721000000005</v>
      </c>
      <c r="AL114">
        <f ca="1">IF(AND(ISNUMBER($AL$251),$B$145=1),$AL$251,HLOOKUP(INDIRECT(ADDRESS(2,COLUMN())),OFFSET($BN$2,0,0,ROW()-1,60),ROW()-1,FALSE))</f>
        <v>73129.914999999994</v>
      </c>
      <c r="AM114">
        <f ca="1">IF(AND(ISNUMBER($AM$251),$B$145=1),$AM$251,HLOOKUP(INDIRECT(ADDRESS(2,COLUMN())),OFFSET($BN$2,0,0,ROW()-1,60),ROW()-1,FALSE))</f>
        <v>74396.635999999999</v>
      </c>
      <c r="AN114">
        <f ca="1">IF(AND(ISNUMBER($AN$251),$B$145=1),$AN$251,HLOOKUP(INDIRECT(ADDRESS(2,COLUMN())),OFFSET($BN$2,0,0,ROW()-1,60),ROW()-1,FALSE))</f>
        <v>71440.154999999999</v>
      </c>
      <c r="AO114">
        <f ca="1">IF(AND(ISNUMBER($AO$251),$B$145=1),$AO$251,HLOOKUP(INDIRECT(ADDRESS(2,COLUMN())),OFFSET($BN$2,0,0,ROW()-1,60),ROW()-1,FALSE))</f>
        <v>69131.436000000002</v>
      </c>
      <c r="AP114">
        <f ca="1">IF(AND(ISNUMBER($AP$251),$B$145=1),$AP$251,HLOOKUP(INDIRECT(ADDRESS(2,COLUMN())),OFFSET($BN$2,0,0,ROW()-1,60),ROW()-1,FALSE))</f>
        <v>71983.051000000007</v>
      </c>
      <c r="AQ114">
        <f ca="1">IF(AND(ISNUMBER($AQ$251),$B$145=1),$AQ$251,HLOOKUP(INDIRECT(ADDRESS(2,COLUMN())),OFFSET($BN$2,0,0,ROW()-1,60),ROW()-1,FALSE))</f>
        <v>71212.884999999995</v>
      </c>
      <c r="AR114">
        <f ca="1">IF(AND(ISNUMBER($AR$251),$B$145=1),$AR$251,HLOOKUP(INDIRECT(ADDRESS(2,COLUMN())),OFFSET($BN$2,0,0,ROW()-1,60),ROW()-1,FALSE))</f>
        <v>70053.205000000002</v>
      </c>
      <c r="AS114">
        <f ca="1">IF(AND(ISNUMBER($AS$251),$B$145=1),$AS$251,HLOOKUP(INDIRECT(ADDRESS(2,COLUMN())),OFFSET($BN$2,0,0,ROW()-1,60),ROW()-1,FALSE))</f>
        <v>69420.232999999993</v>
      </c>
      <c r="AT114">
        <f ca="1">IF(AND(ISNUMBER($AT$251),$B$145=1),$AT$251,HLOOKUP(INDIRECT(ADDRESS(2,COLUMN())),OFFSET($BN$2,0,0,ROW()-1,60),ROW()-1,FALSE))</f>
        <v>69452.409</v>
      </c>
      <c r="AU114">
        <f ca="1">IF(AND(ISNUMBER($AU$251),$B$145=1),$AU$251,HLOOKUP(INDIRECT(ADDRESS(2,COLUMN())),OFFSET($BN$2,0,0,ROW()-1,60),ROW()-1,FALSE))</f>
        <v>68949.210000000006</v>
      </c>
      <c r="AV114">
        <f ca="1">IF(AND(ISNUMBER($AV$251),$B$145=1),$AV$251,HLOOKUP(INDIRECT(ADDRESS(2,COLUMN())),OFFSET($BN$2,0,0,ROW()-1,60),ROW()-1,FALSE))</f>
        <v>65386.080999999998</v>
      </c>
      <c r="AW114">
        <f ca="1">IF(AND(ISNUMBER($AW$251),$B$145=1),$AW$251,HLOOKUP(INDIRECT(ADDRESS(2,COLUMN())),OFFSET($BN$2,0,0,ROW()-1,60),ROW()-1,FALSE))</f>
        <v>65832.917000000001</v>
      </c>
      <c r="AX114">
        <f ca="1">IF(AND(ISNUMBER($AX$251),$B$145=1),$AX$251,HLOOKUP(INDIRECT(ADDRESS(2,COLUMN())),OFFSET($BN$2,0,0,ROW()-1,60),ROW()-1,FALSE))</f>
        <v>65356.58</v>
      </c>
      <c r="AY114">
        <f ca="1">IF(AND(ISNUMBER($AY$251),$B$145=1),$AY$251,HLOOKUP(INDIRECT(ADDRESS(2,COLUMN())),OFFSET($BN$2,0,0,ROW()-1,60),ROW()-1,FALSE))</f>
        <v>64723.31</v>
      </c>
      <c r="AZ114">
        <f ca="1">IF(AND(ISNUMBER($AZ$251),$B$145=1),$AZ$251,HLOOKUP(INDIRECT(ADDRESS(2,COLUMN())),OFFSET($BN$2,0,0,ROW()-1,60),ROW()-1,FALSE))</f>
        <v>63013.097000000002</v>
      </c>
      <c r="BA114">
        <f ca="1">IF(AND(ISNUMBER($BA$251),$B$145=1),$BA$251,HLOOKUP(INDIRECT(ADDRESS(2,COLUMN())),OFFSET($BN$2,0,0,ROW()-1,60),ROW()-1,FALSE))</f>
        <v>64975.279000000002</v>
      </c>
      <c r="BB114">
        <f ca="1">IF(AND(ISNUMBER($BB$251),$B$145=1),$BB$251,HLOOKUP(INDIRECT(ADDRESS(2,COLUMN())),OFFSET($BN$2,0,0,ROW()-1,60),ROW()-1,FALSE))</f>
        <v>65398.175000000003</v>
      </c>
      <c r="BC114">
        <f ca="1">IF(AND(ISNUMBER($BC$251),$B$145=1),$BC$251,HLOOKUP(INDIRECT(ADDRESS(2,COLUMN())),OFFSET($BN$2,0,0,ROW()-1,60),ROW()-1,FALSE))</f>
        <v>63449.196000000004</v>
      </c>
      <c r="BD114">
        <f ca="1">IF(AND(ISNUMBER($BD$251),$B$145=1),$BD$251,HLOOKUP(INDIRECT(ADDRESS(2,COLUMN())),OFFSET($BN$2,0,0,ROW()-1,60),ROW()-1,FALSE))</f>
        <v>62756.597000000002</v>
      </c>
      <c r="BE114">
        <f ca="1">IF(AND(ISNUMBER($BE$251),$B$145=1),$BE$251,HLOOKUP(INDIRECT(ADDRESS(2,COLUMN())),OFFSET($BN$2,0,0,ROW()-1,60),ROW()-1,FALSE))</f>
        <v>62682.288999999997</v>
      </c>
      <c r="BF114">
        <f ca="1">IF(AND(ISNUMBER($BF$251),$B$145=1),$BF$251,HLOOKUP(INDIRECT(ADDRESS(2,COLUMN())),OFFSET($BN$2,0,0,ROW()-1,60),ROW()-1,FALSE))</f>
        <v>61139.192000000003</v>
      </c>
      <c r="BG114">
        <f ca="1">IF(AND(ISNUMBER($BG$251),$B$145=1),$BG$251,HLOOKUP(INDIRECT(ADDRESS(2,COLUMN())),OFFSET($BN$2,0,0,ROW()-1,60),ROW()-1,FALSE))</f>
        <v>60991.256000000001</v>
      </c>
      <c r="BH114">
        <f ca="1">IF(AND(ISNUMBER($BH$251),$B$145=1),$BH$251,HLOOKUP(INDIRECT(ADDRESS(2,COLUMN())),OFFSET($BN$2,0,0,ROW()-1,60),ROW()-1,FALSE))</f>
        <v>54244.445</v>
      </c>
      <c r="BI114">
        <f ca="1">IF(AND(ISNUMBER($BI$251),$B$145=1),$BI$251,HLOOKUP(INDIRECT(ADDRESS(2,COLUMN())),OFFSET($BN$2,0,0,ROW()-1,60),ROW()-1,FALSE))</f>
        <v>55237.678</v>
      </c>
      <c r="BJ114">
        <f ca="1">IF(AND(ISNUMBER($BJ$251),$B$145=1),$BJ$251,HLOOKUP(INDIRECT(ADDRESS(2,COLUMN())),OFFSET($BN$2,0,0,ROW()-1,60),ROW()-1,FALSE))</f>
        <v>54001.082999999999</v>
      </c>
      <c r="BK114">
        <f ca="1">IF(AND(ISNUMBER($BK$251),$B$145=1),$BK$251,HLOOKUP(INDIRECT(ADDRESS(2,COLUMN())),OFFSET($BN$2,0,0,ROW()-1,60),ROW()-1,FALSE))</f>
        <v>55154.553</v>
      </c>
      <c r="BL114">
        <f ca="1">IF(AND(ISNUMBER($BL$251),$B$145=1),$BL$251,HLOOKUP(INDIRECT(ADDRESS(2,COLUMN())),OFFSET($BN$2,0,0,ROW()-1,60),ROW()-1,FALSE))</f>
        <v>55997.504999999997</v>
      </c>
      <c r="BM114">
        <f ca="1">IF(AND(ISNUMBER($BM$251),$B$145=1),$BM$251,HLOOKUP(INDIRECT(ADDRESS(2,COLUMN())),OFFSET($BN$2,0,0,ROW()-1,60),ROW()-1,FALSE))</f>
        <v>57225.093999999997</v>
      </c>
      <c r="BN114" t="str">
        <f>""</f>
        <v/>
      </c>
      <c r="BO114" t="str">
        <f>""</f>
        <v/>
      </c>
      <c r="BP114">
        <f>79792</f>
        <v>79792</v>
      </c>
      <c r="BQ114">
        <f>79660</f>
        <v>79660</v>
      </c>
      <c r="BR114">
        <f>86046</f>
        <v>86046</v>
      </c>
      <c r="BS114">
        <f>85909</f>
        <v>85909</v>
      </c>
      <c r="BT114">
        <f>90994</f>
        <v>90994</v>
      </c>
      <c r="BU114">
        <f>91327</f>
        <v>91327</v>
      </c>
      <c r="BV114">
        <f>85648</f>
        <v>85648</v>
      </c>
      <c r="BW114">
        <f>84344</f>
        <v>84344</v>
      </c>
      <c r="BX114">
        <f>87179</f>
        <v>87179</v>
      </c>
      <c r="BY114">
        <f>89318</f>
        <v>89318</v>
      </c>
      <c r="BZ114">
        <f>95001</f>
        <v>95001</v>
      </c>
      <c r="CA114">
        <f>94722</f>
        <v>94722</v>
      </c>
      <c r="CB114">
        <f>88515</f>
        <v>88515</v>
      </c>
      <c r="CC114">
        <f>86475</f>
        <v>86475</v>
      </c>
      <c r="CD114">
        <f>88320</f>
        <v>88320</v>
      </c>
      <c r="CE114">
        <f>83791</f>
        <v>83791</v>
      </c>
      <c r="CF114">
        <f>84603</f>
        <v>84603</v>
      </c>
      <c r="CG114">
        <f>76457</f>
        <v>76457</v>
      </c>
      <c r="CH114">
        <f>73519</f>
        <v>73519</v>
      </c>
      <c r="CI114">
        <f>73081</f>
        <v>73081</v>
      </c>
      <c r="CJ114">
        <f>72592</f>
        <v>72592</v>
      </c>
      <c r="CK114">
        <f>70796</f>
        <v>70796</v>
      </c>
      <c r="CL114">
        <f>70906.003</f>
        <v>70906.002999999997</v>
      </c>
      <c r="CM114">
        <f>71590.232</f>
        <v>71590.232000000004</v>
      </c>
      <c r="CN114">
        <f>72204.036</f>
        <v>72204.035999999993</v>
      </c>
      <c r="CO114">
        <f>72417.712</f>
        <v>72417.712</v>
      </c>
      <c r="CP114">
        <f>71691.612</f>
        <v>71691.611999999994</v>
      </c>
      <c r="CQ114">
        <f>72268.506</f>
        <v>72268.505999999994</v>
      </c>
      <c r="CR114">
        <f>71630.277</f>
        <v>71630.277000000002</v>
      </c>
      <c r="CS114">
        <f>73169.721</f>
        <v>73169.721000000005</v>
      </c>
      <c r="CT114">
        <f>73129.915</f>
        <v>73129.914999999994</v>
      </c>
      <c r="CU114">
        <f>74396.636</f>
        <v>74396.635999999999</v>
      </c>
      <c r="CV114">
        <f>71440.155</f>
        <v>71440.154999999999</v>
      </c>
      <c r="CW114">
        <f>69131.436</f>
        <v>69131.436000000002</v>
      </c>
      <c r="CX114">
        <f>71983.051</f>
        <v>71983.051000000007</v>
      </c>
      <c r="CY114">
        <f>71212.885</f>
        <v>71212.884999999995</v>
      </c>
      <c r="CZ114">
        <f>70053.205</f>
        <v>70053.205000000002</v>
      </c>
      <c r="DA114">
        <f>69420.233</f>
        <v>69420.232999999993</v>
      </c>
      <c r="DB114">
        <f>69452.409</f>
        <v>69452.409</v>
      </c>
      <c r="DC114">
        <f>68949.21</f>
        <v>68949.210000000006</v>
      </c>
      <c r="DD114">
        <f>65386.081</f>
        <v>65386.080999999998</v>
      </c>
      <c r="DE114">
        <f>65832.917</f>
        <v>65832.917000000001</v>
      </c>
      <c r="DF114">
        <f>65356.58</f>
        <v>65356.58</v>
      </c>
      <c r="DG114">
        <f>64723.31</f>
        <v>64723.31</v>
      </c>
      <c r="DH114">
        <f>63013.097</f>
        <v>63013.097000000002</v>
      </c>
      <c r="DI114">
        <f>64975.279</f>
        <v>64975.279000000002</v>
      </c>
      <c r="DJ114">
        <f>65398.175</f>
        <v>65398.175000000003</v>
      </c>
      <c r="DK114">
        <f>63449.196</f>
        <v>63449.196000000004</v>
      </c>
      <c r="DL114">
        <f>62756.597</f>
        <v>62756.597000000002</v>
      </c>
      <c r="DM114">
        <f>62682.289</f>
        <v>62682.288999999997</v>
      </c>
      <c r="DN114">
        <f>61139.192</f>
        <v>61139.192000000003</v>
      </c>
      <c r="DO114">
        <f>60991.256</f>
        <v>60991.256000000001</v>
      </c>
      <c r="DP114">
        <f>54244.445</f>
        <v>54244.445</v>
      </c>
      <c r="DQ114">
        <f>55237.678</f>
        <v>55237.678</v>
      </c>
      <c r="DR114">
        <f>54001.083</f>
        <v>54001.082999999999</v>
      </c>
      <c r="DS114">
        <f>55154.553</f>
        <v>55154.553</v>
      </c>
      <c r="DT114">
        <f>55997.505</f>
        <v>55997.504999999997</v>
      </c>
      <c r="DU114">
        <f>57225.094</f>
        <v>57225.093999999997</v>
      </c>
    </row>
    <row r="115" spans="1:125" x14ac:dyDescent="0.25">
      <c r="A115" t="str">
        <f>"            East West Bancorp Inc"</f>
        <v xml:space="preserve">            East West Bancorp Inc</v>
      </c>
      <c r="B115" t="str">
        <f>"EWBC US Equity"</f>
        <v>EWBC US Equity</v>
      </c>
      <c r="C115" t="str">
        <f t="shared" si="16"/>
        <v>FC001</v>
      </c>
      <c r="D115" t="str">
        <f t="shared" si="17"/>
        <v>FDIC_TOTAL_ASSETS</v>
      </c>
      <c r="E115" t="str">
        <f t="shared" si="18"/>
        <v>Dynamic</v>
      </c>
      <c r="F115" t="str">
        <f ca="1">IF(AND(ISNUMBER($F$252),$B$145=1),$F$252,HLOOKUP(INDIRECT(ADDRESS(2,COLUMN())),OFFSET($BN$2,0,0,ROW()-1,60),ROW()-1,FALSE))</f>
        <v/>
      </c>
      <c r="G115" t="str">
        <f ca="1">IF(AND(ISNUMBER($G$252),$B$145=1),$G$252,HLOOKUP(INDIRECT(ADDRESS(2,COLUMN())),OFFSET($BN$2,0,0,ROW()-1,60),ROW()-1,FALSE))</f>
        <v/>
      </c>
      <c r="H115">
        <f ca="1">IF(AND(ISNUMBER($H$252),$B$145=1),$H$252,HLOOKUP(INDIRECT(ADDRESS(2,COLUMN())),OFFSET($BN$2,0,0,ROW()-1,60),ROW()-1,FALSE))</f>
        <v>72468.271999999997</v>
      </c>
      <c r="I115">
        <f ca="1">IF(AND(ISNUMBER($I$252),$B$145=1),$I$252,HLOOKUP(INDIRECT(ADDRESS(2,COLUMN())),OFFSET($BN$2,0,0,ROW()-1,60),ROW()-1,FALSE))</f>
        <v>70875.67</v>
      </c>
      <c r="J115">
        <f ca="1">IF(AND(ISNUMBER($J$252),$B$145=1),$J$252,HLOOKUP(INDIRECT(ADDRESS(2,COLUMN())),OFFSET($BN$2,0,0,ROW()-1,60),ROW()-1,FALSE))</f>
        <v>69612.884000000005</v>
      </c>
      <c r="K115">
        <f ca="1">IF(AND(ISNUMBER($K$252),$B$145=1),$K$252,HLOOKUP(INDIRECT(ADDRESS(2,COLUMN())),OFFSET($BN$2,0,0,ROW()-1,60),ROW()-1,FALSE))</f>
        <v>68289.457999999999</v>
      </c>
      <c r="L115">
        <f ca="1">IF(AND(ISNUMBER($L$252),$B$145=1),$L$252,HLOOKUP(INDIRECT(ADDRESS(2,COLUMN())),OFFSET($BN$2,0,0,ROW()-1,60),ROW()-1,FALSE))</f>
        <v>68532.680999999997</v>
      </c>
      <c r="M115">
        <f ca="1">IF(AND(ISNUMBER($M$252),$B$145=1),$M$252,HLOOKUP(INDIRECT(ADDRESS(2,COLUMN())),OFFSET($BN$2,0,0,ROW()-1,60),ROW()-1,FALSE))</f>
        <v>67244.898000000001</v>
      </c>
      <c r="N115">
        <f ca="1">IF(AND(ISNUMBER($N$252),$B$145=1),$N$252,HLOOKUP(INDIRECT(ADDRESS(2,COLUMN())),OFFSET($BN$2,0,0,ROW()-1,60),ROW()-1,FALSE))</f>
        <v>64112.15</v>
      </c>
      <c r="O115">
        <f ca="1">IF(AND(ISNUMBER($O$252),$B$145=1),$O$252,HLOOKUP(INDIRECT(ADDRESS(2,COLUMN())),OFFSET($BN$2,0,0,ROW()-1,60),ROW()-1,FALSE))</f>
        <v>62576.061000000002</v>
      </c>
      <c r="P115">
        <f ca="1">IF(AND(ISNUMBER($P$252),$B$145=1),$P$252,HLOOKUP(INDIRECT(ADDRESS(2,COLUMN())),OFFSET($BN$2,0,0,ROW()-1,60),ROW()-1,FALSE))</f>
        <v>62394.283000000003</v>
      </c>
      <c r="Q115">
        <f ca="1">IF(AND(ISNUMBER($Q$252),$B$145=1),$Q$252,HLOOKUP(INDIRECT(ADDRESS(2,COLUMN())),OFFSET($BN$2,0,0,ROW()-1,60),ROW()-1,FALSE))</f>
        <v>62241.455999999998</v>
      </c>
      <c r="R115">
        <f ca="1">IF(AND(ISNUMBER($R$252),$B$145=1),$R$252,HLOOKUP(INDIRECT(ADDRESS(2,COLUMN())),OFFSET($BN$2,0,0,ROW()-1,60),ROW()-1,FALSE))</f>
        <v>60870.701000000001</v>
      </c>
      <c r="S115">
        <f ca="1">IF(AND(ISNUMBER($S$252),$B$145=1),$S$252,HLOOKUP(INDIRECT(ADDRESS(2,COLUMN())),OFFSET($BN$2,0,0,ROW()-1,60),ROW()-1,FALSE))</f>
        <v>60959.11</v>
      </c>
      <c r="T115">
        <f ca="1">IF(AND(ISNUMBER($T$252),$B$145=1),$T$252,HLOOKUP(INDIRECT(ADDRESS(2,COLUMN())),OFFSET($BN$2,0,0,ROW()-1,60),ROW()-1,FALSE))</f>
        <v>59854.875999999997</v>
      </c>
      <c r="U115">
        <f ca="1">IF(AND(ISNUMBER($U$252),$B$145=1),$U$252,HLOOKUP(INDIRECT(ADDRESS(2,COLUMN())),OFFSET($BN$2,0,0,ROW()-1,60),ROW()-1,FALSE))</f>
        <v>56874.146000000001</v>
      </c>
      <c r="V115">
        <f ca="1">IF(AND(ISNUMBER($V$252),$B$145=1),$V$252,HLOOKUP(INDIRECT(ADDRESS(2,COLUMN())),OFFSET($BN$2,0,0,ROW()-1,60),ROW()-1,FALSE))</f>
        <v>52156.913</v>
      </c>
      <c r="W115">
        <f ca="1">IF(AND(ISNUMBER($W$252),$B$145=1),$W$252,HLOOKUP(INDIRECT(ADDRESS(2,COLUMN())),OFFSET($BN$2,0,0,ROW()-1,60),ROW()-1,FALSE))</f>
        <v>50371.476999999999</v>
      </c>
      <c r="X115">
        <f ca="1">IF(AND(ISNUMBER($X$252),$B$145=1),$X$252,HLOOKUP(INDIRECT(ADDRESS(2,COLUMN())),OFFSET($BN$2,0,0,ROW()-1,60),ROW()-1,FALSE))</f>
        <v>49407.593000000001</v>
      </c>
      <c r="Y115">
        <f ca="1">IF(AND(ISNUMBER($Y$252),$B$145=1),$Y$252,HLOOKUP(INDIRECT(ADDRESS(2,COLUMN())),OFFSET($BN$2,0,0,ROW()-1,60),ROW()-1,FALSE))</f>
        <v>45948.544999999998</v>
      </c>
      <c r="Z115">
        <f ca="1">IF(AND(ISNUMBER($Z$252),$B$145=1),$Z$252,HLOOKUP(INDIRECT(ADDRESS(2,COLUMN())),OFFSET($BN$2,0,0,ROW()-1,60),ROW()-1,FALSE))</f>
        <v>44196.095999999998</v>
      </c>
      <c r="AA115">
        <f ca="1">IF(AND(ISNUMBER($AA$252),$B$145=1),$AA$252,HLOOKUP(INDIRECT(ADDRESS(2,COLUMN())),OFFSET($BN$2,0,0,ROW()-1,60),ROW()-1,FALSE))</f>
        <v>43274.659</v>
      </c>
      <c r="AB115">
        <f ca="1">IF(AND(ISNUMBER($AB$252),$B$145=1),$AB$252,HLOOKUP(INDIRECT(ADDRESS(2,COLUMN())),OFFSET($BN$2,0,0,ROW()-1,60),ROW()-1,FALSE))</f>
        <v>42892.358</v>
      </c>
      <c r="AC115">
        <f ca="1">IF(AND(ISNUMBER($AC$252),$B$145=1),$AC$252,HLOOKUP(INDIRECT(ADDRESS(2,COLUMN())),OFFSET($BN$2,0,0,ROW()-1,60),ROW()-1,FALSE))</f>
        <v>42091.432999999997</v>
      </c>
      <c r="AD115">
        <f ca="1">IF(AND(ISNUMBER($AD$252),$B$145=1),$AD$252,HLOOKUP(INDIRECT(ADDRESS(2,COLUMN())),OFFSET($BN$2,0,0,ROW()-1,60),ROW()-1,FALSE))</f>
        <v>41042.356</v>
      </c>
      <c r="AE115">
        <f ca="1">IF(AND(ISNUMBER($AE$252),$B$145=1),$AE$252,HLOOKUP(INDIRECT(ADDRESS(2,COLUMN())),OFFSET($BN$2,0,0,ROW()-1,60),ROW()-1,FALSE))</f>
        <v>39073.106</v>
      </c>
      <c r="AF115">
        <f ca="1">IF(AND(ISNUMBER($AF$252),$B$145=1),$AF$252,HLOOKUP(INDIRECT(ADDRESS(2,COLUMN())),OFFSET($BN$2,0,0,ROW()-1,60),ROW()-1,FALSE))</f>
        <v>38072.953999999998</v>
      </c>
      <c r="AG115">
        <f ca="1">IF(AND(ISNUMBER($AG$252),$B$145=1),$AG$252,HLOOKUP(INDIRECT(ADDRESS(2,COLUMN())),OFFSET($BN$2,0,0,ROW()-1,60),ROW()-1,FALSE))</f>
        <v>37693.158000000003</v>
      </c>
      <c r="AH115">
        <f ca="1">IF(AND(ISNUMBER($AH$252),$B$145=1),$AH$252,HLOOKUP(INDIRECT(ADDRESS(2,COLUMN())),OFFSET($BN$2,0,0,ROW()-1,60),ROW()-1,FALSE))</f>
        <v>37150.249000000003</v>
      </c>
      <c r="AI115">
        <f ca="1">IF(AND(ISNUMBER($AI$252),$B$145=1),$AI$252,HLOOKUP(INDIRECT(ADDRESS(2,COLUMN())),OFFSET($BN$2,0,0,ROW()-1,60),ROW()-1,FALSE))</f>
        <v>36328.930999999997</v>
      </c>
      <c r="AJ115">
        <f ca="1">IF(AND(ISNUMBER($AJ$252),$B$145=1),$AJ$252,HLOOKUP(INDIRECT(ADDRESS(2,COLUMN())),OFFSET($BN$2,0,0,ROW()-1,60),ROW()-1,FALSE))</f>
        <v>35926.781999999999</v>
      </c>
      <c r="AK115">
        <f ca="1">IF(AND(ISNUMBER($AK$252),$B$145=1),$AK$252,HLOOKUP(INDIRECT(ADDRESS(2,COLUMN())),OFFSET($BN$2,0,0,ROW()-1,60),ROW()-1,FALSE))</f>
        <v>35348.696000000004</v>
      </c>
      <c r="AL115">
        <f ca="1">IF(AND(ISNUMBER($AL$252),$B$145=1),$AL$252,HLOOKUP(INDIRECT(ADDRESS(2,COLUMN())),OFFSET($BN$2,0,0,ROW()-1,60),ROW()-1,FALSE))</f>
        <v>34796.853999999999</v>
      </c>
      <c r="AM115">
        <f ca="1">IF(AND(ISNUMBER($AM$252),$B$145=1),$AM$252,HLOOKUP(INDIRECT(ADDRESS(2,COLUMN())),OFFSET($BN$2,0,0,ROW()-1,60),ROW()-1,FALSE))</f>
        <v>33269.938000000002</v>
      </c>
      <c r="AN115">
        <f ca="1">IF(AND(ISNUMBER($AN$252),$B$145=1),$AN$252,HLOOKUP(INDIRECT(ADDRESS(2,COLUMN())),OFFSET($BN$2,0,0,ROW()-1,60),ROW()-1,FALSE))</f>
        <v>32952.137999999999</v>
      </c>
      <c r="AO115">
        <f ca="1">IF(AND(ISNUMBER($AO$252),$B$145=1),$AO$252,HLOOKUP(INDIRECT(ADDRESS(2,COLUMN())),OFFSET($BN$2,0,0,ROW()-1,60),ROW()-1,FALSE))</f>
        <v>33109.184999999998</v>
      </c>
      <c r="AP115">
        <f ca="1">IF(AND(ISNUMBER($AP$252),$B$145=1),$AP$252,HLOOKUP(INDIRECT(ADDRESS(2,COLUMN())),OFFSET($BN$2,0,0,ROW()-1,60),ROW()-1,FALSE))</f>
        <v>32351.171999999999</v>
      </c>
      <c r="AQ115">
        <f ca="1">IF(AND(ISNUMBER($AQ$252),$B$145=1),$AQ$252,HLOOKUP(INDIRECT(ADDRESS(2,COLUMN())),OFFSET($BN$2,0,0,ROW()-1,60),ROW()-1,FALSE))</f>
        <v>31119.855</v>
      </c>
      <c r="AR115">
        <f ca="1">IF(AND(ISNUMBER($AR$252),$B$145=1),$AR$252,HLOOKUP(INDIRECT(ADDRESS(2,COLUMN())),OFFSET($BN$2,0,0,ROW()-1,60),ROW()-1,FALSE))</f>
        <v>30064.322</v>
      </c>
      <c r="AS115">
        <f ca="1">IF(AND(ISNUMBER($AS$252),$B$145=1),$AS$252,HLOOKUP(INDIRECT(ADDRESS(2,COLUMN())),OFFSET($BN$2,0,0,ROW()-1,60),ROW()-1,FALSE))</f>
        <v>29907.423999999999</v>
      </c>
      <c r="AT115">
        <f ca="1">IF(AND(ISNUMBER($AT$252),$B$145=1),$AT$252,HLOOKUP(INDIRECT(ADDRESS(2,COLUMN())),OFFSET($BN$2,0,0,ROW()-1,60),ROW()-1,FALSE))</f>
        <v>28738.323</v>
      </c>
      <c r="AU115">
        <f ca="1">IF(AND(ISNUMBER($AU$252),$B$145=1),$AU$252,HLOOKUP(INDIRECT(ADDRESS(2,COLUMN())),OFFSET($BN$2,0,0,ROW()-1,60),ROW()-1,FALSE))</f>
        <v>28481.155999999999</v>
      </c>
      <c r="AV115">
        <f ca="1">IF(AND(ISNUMBER($AV$252),$B$145=1),$AV$252,HLOOKUP(INDIRECT(ADDRESS(2,COLUMN())),OFFSET($BN$2,0,0,ROW()-1,60),ROW()-1,FALSE))</f>
        <v>27556.917000000001</v>
      </c>
      <c r="AW115">
        <f ca="1">IF(AND(ISNUMBER($AW$252),$B$145=1),$AW$252,HLOOKUP(INDIRECT(ADDRESS(2,COLUMN())),OFFSET($BN$2,0,0,ROW()-1,60),ROW()-1,FALSE))</f>
        <v>27401.437999999998</v>
      </c>
      <c r="AX115">
        <f ca="1">IF(AND(ISNUMBER($AX$252),$B$145=1),$AX$252,HLOOKUP(INDIRECT(ADDRESS(2,COLUMN())),OFFSET($BN$2,0,0,ROW()-1,60),ROW()-1,FALSE))</f>
        <v>24730.609</v>
      </c>
      <c r="AY115">
        <f ca="1">IF(AND(ISNUMBER($AY$252),$B$145=1),$AY$252,HLOOKUP(INDIRECT(ADDRESS(2,COLUMN())),OFFSET($BN$2,0,0,ROW()-1,60),ROW()-1,FALSE))</f>
        <v>24493.454000000002</v>
      </c>
      <c r="AZ115">
        <f ca="1">IF(AND(ISNUMBER($AZ$252),$B$145=1),$AZ$252,HLOOKUP(INDIRECT(ADDRESS(2,COLUMN())),OFFSET($BN$2,0,0,ROW()-1,60),ROW()-1,FALSE))</f>
        <v>23314.134999999998</v>
      </c>
      <c r="BA115">
        <f ca="1">IF(AND(ISNUMBER($BA$252),$B$145=1),$BA$252,HLOOKUP(INDIRECT(ADDRESS(2,COLUMN())),OFFSET($BN$2,0,0,ROW()-1,60),ROW()-1,FALSE))</f>
        <v>23102.005000000001</v>
      </c>
      <c r="BB115">
        <f ca="1">IF(AND(ISNUMBER($BB$252),$B$145=1),$BB$252,HLOOKUP(INDIRECT(ADDRESS(2,COLUMN())),OFFSET($BN$2,0,0,ROW()-1,60),ROW()-1,FALSE))</f>
        <v>22536.281999999999</v>
      </c>
      <c r="BC115">
        <f ca="1">IF(AND(ISNUMBER($BC$252),$B$145=1),$BC$252,HLOOKUP(INDIRECT(ADDRESS(2,COLUMN())),OFFSET($BN$2,0,0,ROW()-1,60),ROW()-1,FALSE))</f>
        <v>21813.361000000001</v>
      </c>
      <c r="BD115">
        <f ca="1">IF(AND(ISNUMBER($BD$252),$B$145=1),$BD$252,HLOOKUP(INDIRECT(ADDRESS(2,COLUMN())),OFFSET($BN$2,0,0,ROW()-1,60),ROW()-1,FALSE))</f>
        <v>21525.82</v>
      </c>
      <c r="BE115">
        <f ca="1">IF(AND(ISNUMBER($BE$252),$B$145=1),$BE$252,HLOOKUP(INDIRECT(ADDRESS(2,COLUMN())),OFFSET($BN$2,0,0,ROW()-1,60),ROW()-1,FALSE))</f>
        <v>21749.819</v>
      </c>
      <c r="BF115">
        <f ca="1">IF(AND(ISNUMBER($BF$252),$B$145=1),$BF$252,HLOOKUP(INDIRECT(ADDRESS(2,COLUMN())),OFFSET($BN$2,0,0,ROW()-1,60),ROW()-1,FALSE))</f>
        <v>21968.901999999998</v>
      </c>
      <c r="BG115">
        <f ca="1">IF(AND(ISNUMBER($BG$252),$B$145=1),$BG$252,HLOOKUP(INDIRECT(ADDRESS(2,COLUMN())),OFFSET($BN$2,0,0,ROW()-1,60),ROW()-1,FALSE))</f>
        <v>21813.203000000001</v>
      </c>
      <c r="BH115">
        <f ca="1">IF(AND(ISNUMBER($BH$252),$B$145=1),$BH$252,HLOOKUP(INDIRECT(ADDRESS(2,COLUMN())),OFFSET($BN$2,0,0,ROW()-1,60),ROW()-1,FALSE))</f>
        <v>21872.774000000001</v>
      </c>
      <c r="BI115">
        <f ca="1">IF(AND(ISNUMBER($BI$252),$B$145=1),$BI$252,HLOOKUP(INDIRECT(ADDRESS(2,COLUMN())),OFFSET($BN$2,0,0,ROW()-1,60),ROW()-1,FALSE))</f>
        <v>21147.080999999998</v>
      </c>
      <c r="BJ115">
        <f ca="1">IF(AND(ISNUMBER($BJ$252),$B$145=1),$BJ$252,HLOOKUP(INDIRECT(ADDRESS(2,COLUMN())),OFFSET($BN$2,0,0,ROW()-1,60),ROW()-1,FALSE))</f>
        <v>20700.642</v>
      </c>
      <c r="BK115">
        <f ca="1">IF(AND(ISNUMBER($BK$252),$B$145=1),$BK$252,HLOOKUP(INDIRECT(ADDRESS(2,COLUMN())),OFFSET($BN$2,0,0,ROW()-1,60),ROW()-1,FALSE))</f>
        <v>20417.394</v>
      </c>
      <c r="BL115">
        <f ca="1">IF(AND(ISNUMBER($BL$252),$B$145=1),$BL$252,HLOOKUP(INDIRECT(ADDRESS(2,COLUMN())),OFFSET($BN$2,0,0,ROW()-1,60),ROW()-1,FALSE))</f>
        <v>19967.321</v>
      </c>
      <c r="BM115">
        <f ca="1">IF(AND(ISNUMBER($BM$252),$B$145=1),$BM$252,HLOOKUP(INDIRECT(ADDRESS(2,COLUMN())),OFFSET($BN$2,0,0,ROW()-1,60),ROW()-1,FALSE))</f>
        <v>20299.175999999999</v>
      </c>
      <c r="BN115" t="str">
        <f>""</f>
        <v/>
      </c>
      <c r="BO115" t="str">
        <f>""</f>
        <v/>
      </c>
      <c r="BP115">
        <f>72468.272</f>
        <v>72468.271999999997</v>
      </c>
      <c r="BQ115">
        <f>70875.67</f>
        <v>70875.67</v>
      </c>
      <c r="BR115">
        <f>69612.884</f>
        <v>69612.884000000005</v>
      </c>
      <c r="BS115">
        <f>68289.458</f>
        <v>68289.457999999999</v>
      </c>
      <c r="BT115">
        <f>68532.681</f>
        <v>68532.680999999997</v>
      </c>
      <c r="BU115">
        <f>67244.898</f>
        <v>67244.898000000001</v>
      </c>
      <c r="BV115">
        <f>64112.15</f>
        <v>64112.15</v>
      </c>
      <c r="BW115">
        <f>62576.061</f>
        <v>62576.061000000002</v>
      </c>
      <c r="BX115">
        <f>62394.283</f>
        <v>62394.283000000003</v>
      </c>
      <c r="BY115">
        <f>62241.456</f>
        <v>62241.455999999998</v>
      </c>
      <c r="BZ115">
        <f>60870.701</f>
        <v>60870.701000000001</v>
      </c>
      <c r="CA115">
        <f>60959.11</f>
        <v>60959.11</v>
      </c>
      <c r="CB115">
        <f>59854.876</f>
        <v>59854.875999999997</v>
      </c>
      <c r="CC115">
        <f>56874.146</f>
        <v>56874.146000000001</v>
      </c>
      <c r="CD115">
        <f>52156.913</f>
        <v>52156.913</v>
      </c>
      <c r="CE115">
        <f>50371.477</f>
        <v>50371.476999999999</v>
      </c>
      <c r="CF115">
        <f>49407.593</f>
        <v>49407.593000000001</v>
      </c>
      <c r="CG115">
        <f>45948.545</f>
        <v>45948.544999999998</v>
      </c>
      <c r="CH115">
        <f>44196.096</f>
        <v>44196.095999999998</v>
      </c>
      <c r="CI115">
        <f>43274.659</f>
        <v>43274.659</v>
      </c>
      <c r="CJ115">
        <f>42892.358</f>
        <v>42892.358</v>
      </c>
      <c r="CK115">
        <f>42091.433</f>
        <v>42091.432999999997</v>
      </c>
      <c r="CL115">
        <f>41042.356</f>
        <v>41042.356</v>
      </c>
      <c r="CM115">
        <f>39073.106</f>
        <v>39073.106</v>
      </c>
      <c r="CN115">
        <f>38072.954</f>
        <v>38072.953999999998</v>
      </c>
      <c r="CO115">
        <f>37693.158</f>
        <v>37693.158000000003</v>
      </c>
      <c r="CP115">
        <f>37150.249</f>
        <v>37150.249000000003</v>
      </c>
      <c r="CQ115">
        <f>36328.931</f>
        <v>36328.930999999997</v>
      </c>
      <c r="CR115">
        <f>35926.782</f>
        <v>35926.781999999999</v>
      </c>
      <c r="CS115">
        <f>35348.696</f>
        <v>35348.696000000004</v>
      </c>
      <c r="CT115">
        <f>34796.854</f>
        <v>34796.853999999999</v>
      </c>
      <c r="CU115">
        <f>33269.938</f>
        <v>33269.938000000002</v>
      </c>
      <c r="CV115">
        <f>32952.138</f>
        <v>32952.137999999999</v>
      </c>
      <c r="CW115">
        <f>33109.185</f>
        <v>33109.184999999998</v>
      </c>
      <c r="CX115">
        <f>32351.172</f>
        <v>32351.171999999999</v>
      </c>
      <c r="CY115">
        <f>31119.855</f>
        <v>31119.855</v>
      </c>
      <c r="CZ115">
        <f>30064.322</f>
        <v>30064.322</v>
      </c>
      <c r="DA115">
        <f>29907.424</f>
        <v>29907.423999999999</v>
      </c>
      <c r="DB115">
        <f>28738.323</f>
        <v>28738.323</v>
      </c>
      <c r="DC115">
        <f>28481.156</f>
        <v>28481.155999999999</v>
      </c>
      <c r="DD115">
        <f>27556.917</f>
        <v>27556.917000000001</v>
      </c>
      <c r="DE115">
        <f>27401.438</f>
        <v>27401.437999999998</v>
      </c>
      <c r="DF115">
        <f>24730.609</f>
        <v>24730.609</v>
      </c>
      <c r="DG115">
        <f>24493.454</f>
        <v>24493.454000000002</v>
      </c>
      <c r="DH115">
        <f>23314.135</f>
        <v>23314.134999999998</v>
      </c>
      <c r="DI115">
        <f>23102.005</f>
        <v>23102.005000000001</v>
      </c>
      <c r="DJ115">
        <f>22536.282</f>
        <v>22536.281999999999</v>
      </c>
      <c r="DK115">
        <f>21813.361</f>
        <v>21813.361000000001</v>
      </c>
      <c r="DL115">
        <f>21525.82</f>
        <v>21525.82</v>
      </c>
      <c r="DM115">
        <f>21749.819</f>
        <v>21749.819</v>
      </c>
      <c r="DN115">
        <f>21968.902</f>
        <v>21968.901999999998</v>
      </c>
      <c r="DO115">
        <f>21813.203</f>
        <v>21813.203000000001</v>
      </c>
      <c r="DP115">
        <f>21872.774</f>
        <v>21872.774000000001</v>
      </c>
      <c r="DQ115">
        <f>21147.081</f>
        <v>21147.080999999998</v>
      </c>
      <c r="DR115">
        <f>20700.642</f>
        <v>20700.642</v>
      </c>
      <c r="DS115">
        <f>20417.394</f>
        <v>20417.394</v>
      </c>
      <c r="DT115">
        <f>19967.321</f>
        <v>19967.321</v>
      </c>
      <c r="DU115">
        <f>20299.176</f>
        <v>20299.175999999999</v>
      </c>
    </row>
    <row r="116" spans="1:125" x14ac:dyDescent="0.25">
      <c r="A116" t="str">
        <f>"            Fifth Third Bancorp"</f>
        <v xml:space="preserve">            Fifth Third Bancorp</v>
      </c>
      <c r="B116" t="str">
        <f>"FITB US Equity"</f>
        <v>FITB US Equity</v>
      </c>
      <c r="C116" t="str">
        <f t="shared" si="16"/>
        <v>FC001</v>
      </c>
      <c r="D116" t="str">
        <f t="shared" si="17"/>
        <v>FDIC_TOTAL_ASSETS</v>
      </c>
      <c r="E116" t="str">
        <f t="shared" si="18"/>
        <v>Dynamic</v>
      </c>
      <c r="F116">
        <f ca="1">IF(AND(ISNUMBER($F$253),$B$145=1),$F$253,HLOOKUP(INDIRECT(ADDRESS(2,COLUMN())),OFFSET($BN$2,0,0,ROW()-1,60),ROW()-1,FALSE))</f>
        <v>212927</v>
      </c>
      <c r="G116">
        <f ca="1">IF(AND(ISNUMBER($G$253),$B$145=1),$G$253,HLOOKUP(INDIRECT(ADDRESS(2,COLUMN())),OFFSET($BN$2,0,0,ROW()-1,60),ROW()-1,FALSE))</f>
        <v>214318</v>
      </c>
      <c r="H116">
        <f ca="1">IF(AND(ISNUMBER($H$253),$B$145=1),$H$253,HLOOKUP(INDIRECT(ADDRESS(2,COLUMN())),OFFSET($BN$2,0,0,ROW()-1,60),ROW()-1,FALSE))</f>
        <v>213262</v>
      </c>
      <c r="I116">
        <f ca="1">IF(AND(ISNUMBER($I$253),$B$145=1),$I$253,HLOOKUP(INDIRECT(ADDRESS(2,COLUMN())),OFFSET($BN$2,0,0,ROW()-1,60),ROW()-1,FALSE))</f>
        <v>214506</v>
      </c>
      <c r="J116">
        <f ca="1">IF(AND(ISNUMBER($J$253),$B$145=1),$J$253,HLOOKUP(INDIRECT(ADDRESS(2,COLUMN())),OFFSET($BN$2,0,0,ROW()-1,60),ROW()-1,FALSE))</f>
        <v>214574</v>
      </c>
      <c r="K116">
        <f ca="1">IF(AND(ISNUMBER($K$253),$B$145=1),$K$253,HLOOKUP(INDIRECT(ADDRESS(2,COLUMN())),OFFSET($BN$2,0,0,ROW()-1,60),ROW()-1,FALSE))</f>
        <v>212967</v>
      </c>
      <c r="L116">
        <f ca="1">IF(AND(ISNUMBER($L$253),$B$145=1),$L$253,HLOOKUP(INDIRECT(ADDRESS(2,COLUMN())),OFFSET($BN$2,0,0,ROW()-1,60),ROW()-1,FALSE))</f>
        <v>207276</v>
      </c>
      <c r="M116">
        <f ca="1">IF(AND(ISNUMBER($M$253),$B$145=1),$M$253,HLOOKUP(INDIRECT(ADDRESS(2,COLUMN())),OFFSET($BN$2,0,0,ROW()-1,60),ROW()-1,FALSE))</f>
        <v>208657</v>
      </c>
      <c r="N116">
        <f ca="1">IF(AND(ISNUMBER($N$253),$B$145=1),$N$253,HLOOKUP(INDIRECT(ADDRESS(2,COLUMN())),OFFSET($BN$2,0,0,ROW()-1,60),ROW()-1,FALSE))</f>
        <v>207452.35699999999</v>
      </c>
      <c r="O116">
        <f ca="1">IF(AND(ISNUMBER($O$253),$B$145=1),$O$253,HLOOKUP(INDIRECT(ADDRESS(2,COLUMN())),OFFSET($BN$2,0,0,ROW()-1,60),ROW()-1,FALSE))</f>
        <v>205463.245</v>
      </c>
      <c r="P116">
        <f ca="1">IF(AND(ISNUMBER($P$253),$B$145=1),$P$253,HLOOKUP(INDIRECT(ADDRESS(2,COLUMN())),OFFSET($BN$2,0,0,ROW()-1,60),ROW()-1,FALSE))</f>
        <v>206782.16800000001</v>
      </c>
      <c r="Q116">
        <f ca="1">IF(AND(ISNUMBER($Q$253),$B$145=1),$Q$253,HLOOKUP(INDIRECT(ADDRESS(2,COLUMN())),OFFSET($BN$2,0,0,ROW()-1,60),ROW()-1,FALSE))</f>
        <v>211458.82199999999</v>
      </c>
      <c r="R116">
        <f ca="1">IF(AND(ISNUMBER($R$253),$B$145=1),$R$253,HLOOKUP(INDIRECT(ADDRESS(2,COLUMN())),OFFSET($BN$2,0,0,ROW()-1,60),ROW()-1,FALSE))</f>
        <v>211115.886</v>
      </c>
      <c r="S116">
        <f ca="1">IF(AND(ISNUMBER($S$253),$B$145=1),$S$253,HLOOKUP(INDIRECT(ADDRESS(2,COLUMN())),OFFSET($BN$2,0,0,ROW()-1,60),ROW()-1,FALSE))</f>
        <v>207730.84099999999</v>
      </c>
      <c r="T116">
        <f ca="1">IF(AND(ISNUMBER($T$253),$B$145=1),$T$253,HLOOKUP(INDIRECT(ADDRESS(2,COLUMN())),OFFSET($BN$2,0,0,ROW()-1,60),ROW()-1,FALSE))</f>
        <v>205389.95800000001</v>
      </c>
      <c r="U116">
        <f ca="1">IF(AND(ISNUMBER($U$253),$B$145=1),$U$253,HLOOKUP(INDIRECT(ADDRESS(2,COLUMN())),OFFSET($BN$2,0,0,ROW()-1,60),ROW()-1,FALSE))</f>
        <v>206899.448</v>
      </c>
      <c r="V116">
        <f ca="1">IF(AND(ISNUMBER($V$253),$B$145=1),$V$253,HLOOKUP(INDIRECT(ADDRESS(2,COLUMN())),OFFSET($BN$2,0,0,ROW()-1,60),ROW()-1,FALSE))</f>
        <v>204679.93299999999</v>
      </c>
      <c r="W116">
        <f ca="1">IF(AND(ISNUMBER($W$253),$B$145=1),$W$253,HLOOKUP(INDIRECT(ADDRESS(2,COLUMN())),OFFSET($BN$2,0,0,ROW()-1,60),ROW()-1,FALSE))</f>
        <v>201995.87700000001</v>
      </c>
      <c r="X116">
        <f ca="1">IF(AND(ISNUMBER($X$253),$B$145=1),$X$253,HLOOKUP(INDIRECT(ADDRESS(2,COLUMN())),OFFSET($BN$2,0,0,ROW()-1,60),ROW()-1,FALSE))</f>
        <v>202905.62400000001</v>
      </c>
      <c r="Y116">
        <f ca="1">IF(AND(ISNUMBER($Y$253),$B$145=1),$Y$253,HLOOKUP(INDIRECT(ADDRESS(2,COLUMN())),OFFSET($BN$2,0,0,ROW()-1,60),ROW()-1,FALSE))</f>
        <v>185391.07</v>
      </c>
      <c r="Z116">
        <f ca="1">IF(AND(ISNUMBER($Z$253),$B$145=1),$Z$253,HLOOKUP(INDIRECT(ADDRESS(2,COLUMN())),OFFSET($BN$2,0,0,ROW()-1,60),ROW()-1,FALSE))</f>
        <v>169369.16899999999</v>
      </c>
      <c r="AA116">
        <f ca="1">IF(AND(ISNUMBER($AA$253),$B$145=1),$AA$253,HLOOKUP(INDIRECT(ADDRESS(2,COLUMN())),OFFSET($BN$2,0,0,ROW()-1,60),ROW()-1,FALSE))</f>
        <v>171078.86900000001</v>
      </c>
      <c r="AB116">
        <f ca="1">IF(AND(ISNUMBER($AB$253),$B$145=1),$AB$253,HLOOKUP(INDIRECT(ADDRESS(2,COLUMN())),OFFSET($BN$2,0,0,ROW()-1,60),ROW()-1,FALSE))</f>
        <v>168802.05799999999</v>
      </c>
      <c r="AC116">
        <f ca="1">IF(AND(ISNUMBER($AC$253),$B$145=1),$AC$253,HLOOKUP(INDIRECT(ADDRESS(2,COLUMN())),OFFSET($BN$2,0,0,ROW()-1,60),ROW()-1,FALSE))</f>
        <v>167853.32800000001</v>
      </c>
      <c r="AD116">
        <f ca="1">IF(AND(ISNUMBER($AD$253),$B$145=1),$AD$253,HLOOKUP(INDIRECT(ADDRESS(2,COLUMN())),OFFSET($BN$2,0,0,ROW()-1,60),ROW()-1,FALSE))</f>
        <v>146069.35500000001</v>
      </c>
      <c r="AE116">
        <f ca="1">IF(AND(ISNUMBER($AE$253),$B$145=1),$AE$253,HLOOKUP(INDIRECT(ADDRESS(2,COLUMN())),OFFSET($BN$2,0,0,ROW()-1,60),ROW()-1,FALSE))</f>
        <v>141684.87899999999</v>
      </c>
      <c r="AF116">
        <f ca="1">IF(AND(ISNUMBER($AF$253),$B$145=1),$AF$253,HLOOKUP(INDIRECT(ADDRESS(2,COLUMN())),OFFSET($BN$2,0,0,ROW()-1,60),ROW()-1,FALSE))</f>
        <v>140695.25599999999</v>
      </c>
      <c r="AG116">
        <f ca="1">IF(AND(ISNUMBER($AG$253),$B$145=1),$AG$253,HLOOKUP(INDIRECT(ADDRESS(2,COLUMN())),OFFSET($BN$2,0,0,ROW()-1,60),ROW()-1,FALSE))</f>
        <v>141500.435</v>
      </c>
      <c r="AH116">
        <f ca="1">IF(AND(ISNUMBER($AH$253),$B$145=1),$AH$253,HLOOKUP(INDIRECT(ADDRESS(2,COLUMN())),OFFSET($BN$2,0,0,ROW()-1,60),ROW()-1,FALSE))</f>
        <v>142193.41</v>
      </c>
      <c r="AI116">
        <f ca="1">IF(AND(ISNUMBER($AI$253),$B$145=1),$AI$253,HLOOKUP(INDIRECT(ADDRESS(2,COLUMN())),OFFSET($BN$2,0,0,ROW()-1,60),ROW()-1,FALSE))</f>
        <v>142264.09700000001</v>
      </c>
      <c r="AJ116">
        <f ca="1">IF(AND(ISNUMBER($AJ$253),$B$145=1),$AJ$253,HLOOKUP(INDIRECT(ADDRESS(2,COLUMN())),OFFSET($BN$2,0,0,ROW()-1,60),ROW()-1,FALSE))</f>
        <v>141066.72500000001</v>
      </c>
      <c r="AK116">
        <f ca="1">IF(AND(ISNUMBER($AK$253),$B$145=1),$AK$253,HLOOKUP(INDIRECT(ADDRESS(2,COLUMN())),OFFSET($BN$2,0,0,ROW()-1,60),ROW()-1,FALSE))</f>
        <v>140199.62599999999</v>
      </c>
      <c r="AL116">
        <f ca="1">IF(AND(ISNUMBER($AL$253),$B$145=1),$AL$253,HLOOKUP(INDIRECT(ADDRESS(2,COLUMN())),OFFSET($BN$2,0,0,ROW()-1,60),ROW()-1,FALSE))</f>
        <v>142176.82999999999</v>
      </c>
      <c r="AM116">
        <f ca="1">IF(AND(ISNUMBER($AM$253),$B$145=1),$AM$253,HLOOKUP(INDIRECT(ADDRESS(2,COLUMN())),OFFSET($BN$2,0,0,ROW()-1,60),ROW()-1,FALSE))</f>
        <v>143278.886</v>
      </c>
      <c r="AN116">
        <f ca="1">IF(AND(ISNUMBER($AN$253),$B$145=1),$AN$253,HLOOKUP(INDIRECT(ADDRESS(2,COLUMN())),OFFSET($BN$2,0,0,ROW()-1,60),ROW()-1,FALSE))</f>
        <v>143625.32500000001</v>
      </c>
      <c r="AO116">
        <f ca="1">IF(AND(ISNUMBER($AO$253),$B$145=1),$AO$253,HLOOKUP(INDIRECT(ADDRESS(2,COLUMN())),OFFSET($BN$2,0,0,ROW()-1,60),ROW()-1,FALSE))</f>
        <v>142430.20699999999</v>
      </c>
      <c r="AP116">
        <f ca="1">IF(AND(ISNUMBER($AP$253),$B$145=1),$AP$253,HLOOKUP(INDIRECT(ADDRESS(2,COLUMN())),OFFSET($BN$2,0,0,ROW()-1,60),ROW()-1,FALSE))</f>
        <v>141082.05900000001</v>
      </c>
      <c r="AQ116">
        <f ca="1">IF(AND(ISNUMBER($AQ$253),$B$145=1),$AQ$253,HLOOKUP(INDIRECT(ADDRESS(2,COLUMN())),OFFSET($BN$2,0,0,ROW()-1,60),ROW()-1,FALSE))</f>
        <v>141917.76300000001</v>
      </c>
      <c r="AR116">
        <f ca="1">IF(AND(ISNUMBER($AR$253),$B$145=1),$AR$253,HLOOKUP(INDIRECT(ADDRESS(2,COLUMN())),OFFSET($BN$2,0,0,ROW()-1,60),ROW()-1,FALSE))</f>
        <v>141658.13</v>
      </c>
      <c r="AS116">
        <f ca="1">IF(AND(ISNUMBER($AS$253),$B$145=1),$AS$253,HLOOKUP(INDIRECT(ADDRESS(2,COLUMN())),OFFSET($BN$2,0,0,ROW()-1,60),ROW()-1,FALSE))</f>
        <v>140469.916</v>
      </c>
      <c r="AT116">
        <f ca="1">IF(AND(ISNUMBER($AT$253),$B$145=1),$AT$253,HLOOKUP(INDIRECT(ADDRESS(2,COLUMN())),OFFSET($BN$2,0,0,ROW()-1,60),ROW()-1,FALSE))</f>
        <v>138705.64000000001</v>
      </c>
      <c r="AU116">
        <f ca="1">IF(AND(ISNUMBER($AU$253),$B$145=1),$AU$253,HLOOKUP(INDIRECT(ADDRESS(2,COLUMN())),OFFSET($BN$2,0,0,ROW()-1,60),ROW()-1,FALSE))</f>
        <v>134187.72200000001</v>
      </c>
      <c r="AV116">
        <f ca="1">IF(AND(ISNUMBER($AV$253),$B$145=1),$AV$253,HLOOKUP(INDIRECT(ADDRESS(2,COLUMN())),OFFSET($BN$2,0,0,ROW()-1,60),ROW()-1,FALSE))</f>
        <v>132562.38200000001</v>
      </c>
      <c r="AW116">
        <f ca="1">IF(AND(ISNUMBER($AW$253),$B$145=1),$AW$253,HLOOKUP(INDIRECT(ADDRESS(2,COLUMN())),OFFSET($BN$2,0,0,ROW()-1,60),ROW()-1,FALSE))</f>
        <v>129654.48699999999</v>
      </c>
      <c r="AX116">
        <f ca="1">IF(AND(ISNUMBER($AX$253),$B$145=1),$AX$253,HLOOKUP(INDIRECT(ADDRESS(2,COLUMN())),OFFSET($BN$2,0,0,ROW()-1,60),ROW()-1,FALSE))</f>
        <v>130442.754</v>
      </c>
      <c r="AY116">
        <f ca="1">IF(AND(ISNUMBER($AY$253),$B$145=1),$AY$253,HLOOKUP(INDIRECT(ADDRESS(2,COLUMN())),OFFSET($BN$2,0,0,ROW()-1,60),ROW()-1,FALSE))</f>
        <v>125672.96400000001</v>
      </c>
      <c r="AZ116">
        <f ca="1">IF(AND(ISNUMBER($AZ$253),$B$145=1),$AZ$253,HLOOKUP(INDIRECT(ADDRESS(2,COLUMN())),OFFSET($BN$2,0,0,ROW()-1,60),ROW()-1,FALSE))</f>
        <v>123360.351</v>
      </c>
      <c r="BA116">
        <f ca="1">IF(AND(ISNUMBER($BA$253),$B$145=1),$BA$253,HLOOKUP(INDIRECT(ADDRESS(2,COLUMN())),OFFSET($BN$2,0,0,ROW()-1,60),ROW()-1,FALSE))</f>
        <v>121381.537</v>
      </c>
      <c r="BB116">
        <f ca="1">IF(AND(ISNUMBER($BB$253),$B$145=1),$BB$253,HLOOKUP(INDIRECT(ADDRESS(2,COLUMN())),OFFSET($BN$2,0,0,ROW()-1,60),ROW()-1,FALSE))</f>
        <v>121893.74800000001</v>
      </c>
      <c r="BC116">
        <f ca="1">IF(AND(ISNUMBER($BC$253),$B$145=1),$BC$253,HLOOKUP(INDIRECT(ADDRESS(2,COLUMN())),OFFSET($BN$2,0,0,ROW()-1,60),ROW()-1,FALSE))</f>
        <v>117482.86900000001</v>
      </c>
      <c r="BD116">
        <f ca="1">IF(AND(ISNUMBER($BD$253),$B$145=1),$BD$253,HLOOKUP(INDIRECT(ADDRESS(2,COLUMN())),OFFSET($BN$2,0,0,ROW()-1,60),ROW()-1,FALSE))</f>
        <v>117542.579</v>
      </c>
      <c r="BE116">
        <f ca="1">IF(AND(ISNUMBER($BE$253),$B$145=1),$BE$253,HLOOKUP(INDIRECT(ADDRESS(2,COLUMN())),OFFSET($BN$2,0,0,ROW()-1,60),ROW()-1,FALSE))</f>
        <v>116747.098</v>
      </c>
      <c r="BF116">
        <f ca="1">IF(AND(ISNUMBER($BF$253),$B$145=1),$BF$253,HLOOKUP(INDIRECT(ADDRESS(2,COLUMN())),OFFSET($BN$2,0,0,ROW()-1,60),ROW()-1,FALSE))</f>
        <v>116966.697</v>
      </c>
      <c r="BG116">
        <f ca="1">IF(AND(ISNUMBER($BG$253),$B$145=1),$BG$253,HLOOKUP(INDIRECT(ADDRESS(2,COLUMN())),OFFSET($BN$2,0,0,ROW()-1,60),ROW()-1,FALSE))</f>
        <v>114904.74099999999</v>
      </c>
      <c r="BH116">
        <f ca="1">IF(AND(ISNUMBER($BH$253),$B$145=1),$BH$253,HLOOKUP(INDIRECT(ADDRESS(2,COLUMN())),OFFSET($BN$2,0,0,ROW()-1,60),ROW()-1,FALSE))</f>
        <v>110804.76</v>
      </c>
      <c r="BI116">
        <f ca="1">IF(AND(ISNUMBER($BI$253),$B$145=1),$BI$253,HLOOKUP(INDIRECT(ADDRESS(2,COLUMN())),OFFSET($BN$2,0,0,ROW()-1,60),ROW()-1,FALSE))</f>
        <v>110484.94500000001</v>
      </c>
      <c r="BJ116">
        <f ca="1">IF(AND(ISNUMBER($BJ$253),$B$145=1),$BJ$253,HLOOKUP(INDIRECT(ADDRESS(2,COLUMN())),OFFSET($BN$2,0,0,ROW()-1,60),ROW()-1,FALSE))</f>
        <v>111006.77800000001</v>
      </c>
      <c r="BK116">
        <f ca="1">IF(AND(ISNUMBER($BK$253),$B$145=1),$BK$253,HLOOKUP(INDIRECT(ADDRESS(2,COLUMN())),OFFSET($BN$2,0,0,ROW()-1,60),ROW()-1,FALSE))</f>
        <v>112322.07799999999</v>
      </c>
      <c r="BL116">
        <f ca="1">IF(AND(ISNUMBER($BL$253),$B$145=1),$BL$253,HLOOKUP(INDIRECT(ADDRESS(2,COLUMN())),OFFSET($BN$2,0,0,ROW()-1,60),ROW()-1,FALSE))</f>
        <v>112025.234</v>
      </c>
      <c r="BM116" t="str">
        <f ca="1">IF(AND(ISNUMBER($BM$253),$B$145=1),$BM$253,HLOOKUP(INDIRECT(ADDRESS(2,COLUMN())),OFFSET($BN$2,0,0,ROW()-1,60),ROW()-1,FALSE))</f>
        <v/>
      </c>
      <c r="BN116">
        <f>212927</f>
        <v>212927</v>
      </c>
      <c r="BO116">
        <f>214318</f>
        <v>214318</v>
      </c>
      <c r="BP116">
        <f>213262</f>
        <v>213262</v>
      </c>
      <c r="BQ116">
        <f>214506</f>
        <v>214506</v>
      </c>
      <c r="BR116">
        <f>214574</f>
        <v>214574</v>
      </c>
      <c r="BS116">
        <f>212967</f>
        <v>212967</v>
      </c>
      <c r="BT116">
        <f>207276</f>
        <v>207276</v>
      </c>
      <c r="BU116">
        <f>208657</f>
        <v>208657</v>
      </c>
      <c r="BV116">
        <f>207452.357</f>
        <v>207452.35699999999</v>
      </c>
      <c r="BW116">
        <f>205463.245</f>
        <v>205463.245</v>
      </c>
      <c r="BX116">
        <f>206782.168</f>
        <v>206782.16800000001</v>
      </c>
      <c r="BY116">
        <f>211458.822</f>
        <v>211458.82199999999</v>
      </c>
      <c r="BZ116">
        <f>211115.886</f>
        <v>211115.886</v>
      </c>
      <c r="CA116">
        <f>207730.841</f>
        <v>207730.84099999999</v>
      </c>
      <c r="CB116">
        <f>205389.958</f>
        <v>205389.95800000001</v>
      </c>
      <c r="CC116">
        <f>206899.448</f>
        <v>206899.448</v>
      </c>
      <c r="CD116">
        <f>204679.933</f>
        <v>204679.93299999999</v>
      </c>
      <c r="CE116">
        <f>201995.877</f>
        <v>201995.87700000001</v>
      </c>
      <c r="CF116">
        <f>202905.624</f>
        <v>202905.62400000001</v>
      </c>
      <c r="CG116">
        <f>185391.07</f>
        <v>185391.07</v>
      </c>
      <c r="CH116">
        <f>169369.169</f>
        <v>169369.16899999999</v>
      </c>
      <c r="CI116">
        <f>171078.869</f>
        <v>171078.86900000001</v>
      </c>
      <c r="CJ116">
        <f>168802.058</f>
        <v>168802.05799999999</v>
      </c>
      <c r="CK116">
        <f>167853.328</f>
        <v>167853.32800000001</v>
      </c>
      <c r="CL116">
        <f>146069.355</f>
        <v>146069.35500000001</v>
      </c>
      <c r="CM116">
        <f>141684.879</f>
        <v>141684.87899999999</v>
      </c>
      <c r="CN116">
        <f>140695.256</f>
        <v>140695.25599999999</v>
      </c>
      <c r="CO116">
        <f>141500.435</f>
        <v>141500.435</v>
      </c>
      <c r="CP116">
        <f>142193.41</f>
        <v>142193.41</v>
      </c>
      <c r="CQ116">
        <f>142264.097</f>
        <v>142264.09700000001</v>
      </c>
      <c r="CR116">
        <f>141066.725</f>
        <v>141066.72500000001</v>
      </c>
      <c r="CS116">
        <f>140199.626</f>
        <v>140199.62599999999</v>
      </c>
      <c r="CT116">
        <f>142176.83</f>
        <v>142176.82999999999</v>
      </c>
      <c r="CU116">
        <f>143278.886</f>
        <v>143278.886</v>
      </c>
      <c r="CV116">
        <f>143625.325</f>
        <v>143625.32500000001</v>
      </c>
      <c r="CW116">
        <f>142430.207</f>
        <v>142430.20699999999</v>
      </c>
      <c r="CX116">
        <f>141082.059</f>
        <v>141082.05900000001</v>
      </c>
      <c r="CY116">
        <f>141917.763</f>
        <v>141917.76300000001</v>
      </c>
      <c r="CZ116">
        <f>141658.13</f>
        <v>141658.13</v>
      </c>
      <c r="DA116">
        <f>140469.916</f>
        <v>140469.916</v>
      </c>
      <c r="DB116">
        <f>138705.64</f>
        <v>138705.64000000001</v>
      </c>
      <c r="DC116">
        <f>134187.722</f>
        <v>134187.72200000001</v>
      </c>
      <c r="DD116">
        <f>132562.382</f>
        <v>132562.38200000001</v>
      </c>
      <c r="DE116">
        <f>129654.487</f>
        <v>129654.48699999999</v>
      </c>
      <c r="DF116">
        <f>130442.754</f>
        <v>130442.754</v>
      </c>
      <c r="DG116">
        <f>125672.964</f>
        <v>125672.96400000001</v>
      </c>
      <c r="DH116">
        <f>123360.351</f>
        <v>123360.351</v>
      </c>
      <c r="DI116">
        <f>121381.537</f>
        <v>121381.537</v>
      </c>
      <c r="DJ116">
        <f>121893.748</f>
        <v>121893.74800000001</v>
      </c>
      <c r="DK116">
        <f>117482.869</f>
        <v>117482.86900000001</v>
      </c>
      <c r="DL116">
        <f>117542.579</f>
        <v>117542.579</v>
      </c>
      <c r="DM116">
        <f>116747.098</f>
        <v>116747.098</v>
      </c>
      <c r="DN116">
        <f>116966.697</f>
        <v>116966.697</v>
      </c>
      <c r="DO116">
        <f>114904.741</f>
        <v>114904.74099999999</v>
      </c>
      <c r="DP116">
        <f>110804.76</f>
        <v>110804.76</v>
      </c>
      <c r="DQ116">
        <f>110484.945</f>
        <v>110484.94500000001</v>
      </c>
      <c r="DR116">
        <f>111006.778</f>
        <v>111006.77800000001</v>
      </c>
      <c r="DS116">
        <f>112322.078</f>
        <v>112322.07799999999</v>
      </c>
      <c r="DT116">
        <f>112025.234</f>
        <v>112025.234</v>
      </c>
      <c r="DU116" t="str">
        <f>""</f>
        <v/>
      </c>
    </row>
    <row r="117" spans="1:125" x14ac:dyDescent="0.25">
      <c r="A117" t="str">
        <f>"            First Citizens BancShares Inc/"</f>
        <v xml:space="preserve">            First Citizens BancShares Inc/</v>
      </c>
      <c r="B117" t="str">
        <f>"FCNCA US Equity"</f>
        <v>FCNCA US Equity</v>
      </c>
      <c r="C117" t="str">
        <f t="shared" si="16"/>
        <v>FC001</v>
      </c>
      <c r="D117" t="str">
        <f t="shared" si="17"/>
        <v>FDIC_TOTAL_ASSETS</v>
      </c>
      <c r="E117" t="str">
        <f t="shared" si="18"/>
        <v>Dynamic</v>
      </c>
      <c r="F117">
        <f ca="1">IF(AND(ISNUMBER($F$254),$B$145=1),$F$254,HLOOKUP(INDIRECT(ADDRESS(2,COLUMN())),OFFSET($BN$2,0,0,ROW()-1,60),ROW()-1,FALSE))</f>
        <v>223720</v>
      </c>
      <c r="G117">
        <f ca="1">IF(AND(ISNUMBER($G$254),$B$145=1),$G$254,HLOOKUP(INDIRECT(ADDRESS(2,COLUMN())),OFFSET($BN$2,0,0,ROW()-1,60),ROW()-1,FALSE))</f>
        <v>220567</v>
      </c>
      <c r="H117">
        <f ca="1">IF(AND(ISNUMBER($H$254),$B$145=1),$H$254,HLOOKUP(INDIRECT(ADDRESS(2,COLUMN())),OFFSET($BN$2,0,0,ROW()-1,60),ROW()-1,FALSE))</f>
        <v>219832</v>
      </c>
      <c r="I117">
        <f ca="1">IF(AND(ISNUMBER($I$254),$B$145=1),$I$254,HLOOKUP(INDIRECT(ADDRESS(2,COLUMN())),OFFSET($BN$2,0,0,ROW()-1,60),ROW()-1,FALSE))</f>
        <v>217855</v>
      </c>
      <c r="J117">
        <f ca="1">IF(AND(ISNUMBER($J$254),$B$145=1),$J$254,HLOOKUP(INDIRECT(ADDRESS(2,COLUMN())),OFFSET($BN$2,0,0,ROW()-1,60),ROW()-1,FALSE))</f>
        <v>213766.628</v>
      </c>
      <c r="K117">
        <f ca="1">IF(AND(ISNUMBER($K$254),$B$145=1),$K$254,HLOOKUP(INDIRECT(ADDRESS(2,COLUMN())),OFFSET($BN$2,0,0,ROW()-1,60),ROW()-1,FALSE))</f>
        <v>213766.3</v>
      </c>
      <c r="L117">
        <f ca="1">IF(AND(ISNUMBER($L$254),$B$145=1),$L$254,HLOOKUP(INDIRECT(ADDRESS(2,COLUMN())),OFFSET($BN$2,0,0,ROW()-1,60),ROW()-1,FALSE))</f>
        <v>209515.076</v>
      </c>
      <c r="M117">
        <f ca="1">IF(AND(ISNUMBER($M$254),$B$145=1),$M$254,HLOOKUP(INDIRECT(ADDRESS(2,COLUMN())),OFFSET($BN$2,0,0,ROW()-1,60),ROW()-1,FALSE))</f>
        <v>214710.674</v>
      </c>
      <c r="N117">
        <f ca="1">IF(AND(ISNUMBER($N$254),$B$145=1),$N$254,HLOOKUP(INDIRECT(ADDRESS(2,COLUMN())),OFFSET($BN$2,0,0,ROW()-1,60),ROW()-1,FALSE))</f>
        <v>109298.424</v>
      </c>
      <c r="O117">
        <f ca="1">IF(AND(ISNUMBER($O$254),$B$145=1),$O$254,HLOOKUP(INDIRECT(ADDRESS(2,COLUMN())),OFFSET($BN$2,0,0,ROW()-1,60),ROW()-1,FALSE))</f>
        <v>109310.039</v>
      </c>
      <c r="P117">
        <f ca="1">IF(AND(ISNUMBER($P$254),$B$145=1),$P$254,HLOOKUP(INDIRECT(ADDRESS(2,COLUMN())),OFFSET($BN$2,0,0,ROW()-1,60),ROW()-1,FALSE))</f>
        <v>107672.569</v>
      </c>
      <c r="Q117">
        <f ca="1">IF(AND(ISNUMBER($Q$254),$B$145=1),$Q$254,HLOOKUP(INDIRECT(ADDRESS(2,COLUMN())),OFFSET($BN$2,0,0,ROW()-1,60),ROW()-1,FALSE))</f>
        <v>108596.694</v>
      </c>
      <c r="R117">
        <f ca="1">IF(AND(ISNUMBER($R$254),$B$145=1),$R$254,HLOOKUP(INDIRECT(ADDRESS(2,COLUMN())),OFFSET($BN$2,0,0,ROW()-1,60),ROW()-1,FALSE))</f>
        <v>58308.14</v>
      </c>
      <c r="S117">
        <f ca="1">IF(AND(ISNUMBER($S$254),$B$145=1),$S$254,HLOOKUP(INDIRECT(ADDRESS(2,COLUMN())),OFFSET($BN$2,0,0,ROW()-1,60),ROW()-1,FALSE))</f>
        <v>56901.976999999999</v>
      </c>
      <c r="T117">
        <f ca="1">IF(AND(ISNUMBER($T$254),$B$145=1),$T$254,HLOOKUP(INDIRECT(ADDRESS(2,COLUMN())),OFFSET($BN$2,0,0,ROW()-1,60),ROW()-1,FALSE))</f>
        <v>55175.317999999999</v>
      </c>
      <c r="U117">
        <f ca="1">IF(AND(ISNUMBER($U$254),$B$145=1),$U$254,HLOOKUP(INDIRECT(ADDRESS(2,COLUMN())),OFFSET($BN$2,0,0,ROW()-1,60),ROW()-1,FALSE))</f>
        <v>53908.606</v>
      </c>
      <c r="V117">
        <f ca="1">IF(AND(ISNUMBER($V$254),$B$145=1),$V$254,HLOOKUP(INDIRECT(ADDRESS(2,COLUMN())),OFFSET($BN$2,0,0,ROW()-1,60),ROW()-1,FALSE))</f>
        <v>49957.68</v>
      </c>
      <c r="W117">
        <f ca="1">IF(AND(ISNUMBER($W$254),$B$145=1),$W$254,HLOOKUP(INDIRECT(ADDRESS(2,COLUMN())),OFFSET($BN$2,0,0,ROW()-1,60),ROW()-1,FALSE))</f>
        <v>48666.873</v>
      </c>
      <c r="X117">
        <f ca="1">IF(AND(ISNUMBER($X$254),$B$145=1),$X$254,HLOOKUP(INDIRECT(ADDRESS(2,COLUMN())),OFFSET($BN$2,0,0,ROW()-1,60),ROW()-1,FALSE))</f>
        <v>47866.194000000003</v>
      </c>
      <c r="Y117">
        <f ca="1">IF(AND(ISNUMBER($Y$254),$B$145=1),$Y$254,HLOOKUP(INDIRECT(ADDRESS(2,COLUMN())),OFFSET($BN$2,0,0,ROW()-1,60),ROW()-1,FALSE))</f>
        <v>41594.453000000001</v>
      </c>
      <c r="Z117">
        <f ca="1">IF(AND(ISNUMBER($Z$254),$B$145=1),$Z$254,HLOOKUP(INDIRECT(ADDRESS(2,COLUMN())),OFFSET($BN$2,0,0,ROW()-1,60),ROW()-1,FALSE))</f>
        <v>39824.495999999999</v>
      </c>
      <c r="AA117">
        <f ca="1">IF(AND(ISNUMBER($AA$254),$B$145=1),$AA$254,HLOOKUP(INDIRECT(ADDRESS(2,COLUMN())),OFFSET($BN$2,0,0,ROW()-1,60),ROW()-1,FALSE))</f>
        <v>37748.324000000001</v>
      </c>
      <c r="AB117">
        <f ca="1">IF(AND(ISNUMBER($AB$254),$B$145=1),$AB$254,HLOOKUP(INDIRECT(ADDRESS(2,COLUMN())),OFFSET($BN$2,0,0,ROW()-1,60),ROW()-1,FALSE))</f>
        <v>37655.093999999997</v>
      </c>
      <c r="AC117">
        <f ca="1">IF(AND(ISNUMBER($AC$254),$B$145=1),$AC$254,HLOOKUP(INDIRECT(ADDRESS(2,COLUMN())),OFFSET($BN$2,0,0,ROW()-1,60),ROW()-1,FALSE))</f>
        <v>35961.67</v>
      </c>
      <c r="AD117">
        <f ca="1">IF(AND(ISNUMBER($AD$254),$B$145=1),$AD$254,HLOOKUP(INDIRECT(ADDRESS(2,COLUMN())),OFFSET($BN$2,0,0,ROW()-1,60),ROW()-1,FALSE))</f>
        <v>35408.629000000001</v>
      </c>
      <c r="AE117">
        <f ca="1">IF(AND(ISNUMBER($AE$254),$B$145=1),$AE$254,HLOOKUP(INDIRECT(ADDRESS(2,COLUMN())),OFFSET($BN$2,0,0,ROW()-1,60),ROW()-1,FALSE))</f>
        <v>34954.659</v>
      </c>
      <c r="AF117">
        <f ca="1">IF(AND(ISNUMBER($AF$254),$B$145=1),$AF$254,HLOOKUP(INDIRECT(ADDRESS(2,COLUMN())),OFFSET($BN$2,0,0,ROW()-1,60),ROW()-1,FALSE))</f>
        <v>35088.565999999999</v>
      </c>
      <c r="AG117">
        <f ca="1">IF(AND(ISNUMBER($AG$254),$B$145=1),$AG$254,HLOOKUP(INDIRECT(ADDRESS(2,COLUMN())),OFFSET($BN$2,0,0,ROW()-1,60),ROW()-1,FALSE))</f>
        <v>34436.436999999998</v>
      </c>
      <c r="AH117">
        <f ca="1">IF(AND(ISNUMBER($AH$254),$B$145=1),$AH$254,HLOOKUP(INDIRECT(ADDRESS(2,COLUMN())),OFFSET($BN$2,0,0,ROW()-1,60),ROW()-1,FALSE))</f>
        <v>34527.512000000002</v>
      </c>
      <c r="AI117">
        <f ca="1">IF(AND(ISNUMBER($AI$254),$B$145=1),$AI$254,HLOOKUP(INDIRECT(ADDRESS(2,COLUMN())),OFFSET($BN$2,0,0,ROW()-1,60),ROW()-1,FALSE))</f>
        <v>34584.154000000002</v>
      </c>
      <c r="AJ117">
        <f ca="1">IF(AND(ISNUMBER($AJ$254),$B$145=1),$AJ$254,HLOOKUP(INDIRECT(ADDRESS(2,COLUMN())),OFFSET($BN$2,0,0,ROW()-1,60),ROW()-1,FALSE))</f>
        <v>34769.85</v>
      </c>
      <c r="AK117">
        <f ca="1">IF(AND(ISNUMBER($AK$254),$B$145=1),$AK$254,HLOOKUP(INDIRECT(ADDRESS(2,COLUMN())),OFFSET($BN$2,0,0,ROW()-1,60),ROW()-1,FALSE))</f>
        <v>34018.404999999999</v>
      </c>
      <c r="AL117">
        <f ca="1">IF(AND(ISNUMBER($AL$254),$B$145=1),$AL$254,HLOOKUP(INDIRECT(ADDRESS(2,COLUMN())),OFFSET($BN$2,0,0,ROW()-1,60),ROW()-1,FALSE))</f>
        <v>32990.836000000003</v>
      </c>
      <c r="AM117">
        <f ca="1">IF(AND(ISNUMBER($AM$254),$B$145=1),$AM$254,HLOOKUP(INDIRECT(ADDRESS(2,COLUMN())),OFFSET($BN$2,0,0,ROW()-1,60),ROW()-1,FALSE))</f>
        <v>32971.910000000003</v>
      </c>
      <c r="AN117">
        <f ca="1">IF(AND(ISNUMBER($AN$254),$B$145=1),$AN$254,HLOOKUP(INDIRECT(ADDRESS(2,COLUMN())),OFFSET($BN$2,0,0,ROW()-1,60),ROW()-1,FALSE))</f>
        <v>32230.402999999998</v>
      </c>
      <c r="AO117">
        <f ca="1">IF(AND(ISNUMBER($AO$254),$B$145=1),$AO$254,HLOOKUP(INDIRECT(ADDRESS(2,COLUMN())),OFFSET($BN$2,0,0,ROW()-1,60),ROW()-1,FALSE))</f>
        <v>32195.656999999999</v>
      </c>
      <c r="AP117">
        <f ca="1">IF(AND(ISNUMBER($AP$254),$B$145=1),$AP$254,HLOOKUP(INDIRECT(ADDRESS(2,COLUMN())),OFFSET($BN$2,0,0,ROW()-1,60),ROW()-1,FALSE))</f>
        <v>31475.934000000001</v>
      </c>
      <c r="AQ117">
        <f ca="1">IF(AND(ISNUMBER($AQ$254),$B$145=1),$AQ$254,HLOOKUP(INDIRECT(ADDRESS(2,COLUMN())),OFFSET($BN$2,0,0,ROW()-1,60),ROW()-1,FALSE))</f>
        <v>31449.824000000001</v>
      </c>
      <c r="AR117">
        <f ca="1">IF(AND(ISNUMBER($AR$254),$B$145=1),$AR$254,HLOOKUP(INDIRECT(ADDRESS(2,COLUMN())),OFFSET($BN$2,0,0,ROW()-1,60),ROW()-1,FALSE))</f>
        <v>30896.855</v>
      </c>
      <c r="AS117">
        <f ca="1">IF(AND(ISNUMBER($AS$254),$B$145=1),$AS$254,HLOOKUP(INDIRECT(ADDRESS(2,COLUMN())),OFFSET($BN$2,0,0,ROW()-1,60),ROW()-1,FALSE))</f>
        <v>30853.649000000001</v>
      </c>
      <c r="AT117">
        <f ca="1">IF(AND(ISNUMBER($AT$254),$B$145=1),$AT$254,HLOOKUP(INDIRECT(ADDRESS(2,COLUMN())),OFFSET($BN$2,0,0,ROW()-1,60),ROW()-1,FALSE))</f>
        <v>30075.113000000001</v>
      </c>
      <c r="AU117">
        <f ca="1">IF(AND(ISNUMBER($AU$254),$B$145=1),$AU$254,HLOOKUP(INDIRECT(ADDRESS(2,COLUMN())),OFFSET($BN$2,0,0,ROW()-1,60),ROW()-1,FALSE))</f>
        <v>21942.491000000002</v>
      </c>
      <c r="AV117">
        <f ca="1">IF(AND(ISNUMBER($AV$254),$B$145=1),$AV$254,HLOOKUP(INDIRECT(ADDRESS(2,COLUMN())),OFFSET($BN$2,0,0,ROW()-1,60),ROW()-1,FALSE))</f>
        <v>22062.84</v>
      </c>
      <c r="AW117">
        <f ca="1">IF(AND(ISNUMBER($AW$254),$B$145=1),$AW$254,HLOOKUP(INDIRECT(ADDRESS(2,COLUMN())),OFFSET($BN$2,0,0,ROW()-1,60),ROW()-1,FALSE))</f>
        <v>22154.996999999999</v>
      </c>
      <c r="AX117">
        <f ca="1">IF(AND(ISNUMBER($AX$254),$B$145=1),$AX$254,HLOOKUP(INDIRECT(ADDRESS(2,COLUMN())),OFFSET($BN$2,0,0,ROW()-1,60),ROW()-1,FALSE))</f>
        <v>21199.091</v>
      </c>
      <c r="AY117">
        <f ca="1">IF(AND(ISNUMBER($AY$254),$B$145=1),$AY$254,HLOOKUP(INDIRECT(ADDRESS(2,COLUMN())),OFFSET($BN$2,0,0,ROW()-1,60),ROW()-1,FALSE))</f>
        <v>21511.351999999999</v>
      </c>
      <c r="AZ117">
        <f ca="1">IF(AND(ISNUMBER($AZ$254),$B$145=1),$AZ$254,HLOOKUP(INDIRECT(ADDRESS(2,COLUMN())),OFFSET($BN$2,0,0,ROW()-1,60),ROW()-1,FALSE))</f>
        <v>21308.822</v>
      </c>
      <c r="BA117">
        <f ca="1">IF(AND(ISNUMBER($BA$254),$B$145=1),$BA$254,HLOOKUP(INDIRECT(ADDRESS(2,COLUMN())),OFFSET($BN$2,0,0,ROW()-1,60),ROW()-1,FALSE))</f>
        <v>21351.011999999999</v>
      </c>
      <c r="BB117">
        <f ca="1">IF(AND(ISNUMBER($BB$254),$B$145=1),$BB$254,HLOOKUP(INDIRECT(ADDRESS(2,COLUMN())),OFFSET($BN$2,0,0,ROW()-1,60),ROW()-1,FALSE))</f>
        <v>21283.651000000002</v>
      </c>
      <c r="BC117">
        <f ca="1">IF(AND(ISNUMBER($BC$254),$B$145=1),$BC$254,HLOOKUP(INDIRECT(ADDRESS(2,COLUMN())),OFFSET($BN$2,0,0,ROW()-1,60),ROW()-1,FALSE))</f>
        <v>21173.618999999999</v>
      </c>
      <c r="BD117">
        <f ca="1">IF(AND(ISNUMBER($BD$254),$B$145=1),$BD$254,HLOOKUP(INDIRECT(ADDRESS(2,COLUMN())),OFFSET($BN$2,0,0,ROW()-1,60),ROW()-1,FALSE))</f>
        <v>21240.99</v>
      </c>
      <c r="BE117">
        <f ca="1">IF(AND(ISNUMBER($BE$254),$B$145=1),$BE$254,HLOOKUP(INDIRECT(ADDRESS(2,COLUMN())),OFFSET($BN$2,0,0,ROW()-1,60),ROW()-1,FALSE))</f>
        <v>21143.628000000001</v>
      </c>
      <c r="BF117">
        <f ca="1">IF(AND(ISNUMBER($BF$254),$B$145=1),$BF$254,HLOOKUP(INDIRECT(ADDRESS(2,COLUMN())),OFFSET($BN$2,0,0,ROW()-1,60),ROW()-1,FALSE))</f>
        <v>20881.493999999999</v>
      </c>
      <c r="BG117">
        <f ca="1">IF(AND(ISNUMBER($BG$254),$B$145=1),$BG$254,HLOOKUP(INDIRECT(ADDRESS(2,COLUMN())),OFFSET($BN$2,0,0,ROW()-1,60),ROW()-1,FALSE))</f>
        <v>21015.345000000001</v>
      </c>
      <c r="BH117">
        <f ca="1">IF(AND(ISNUMBER($BH$254),$B$145=1),$BH$254,HLOOKUP(INDIRECT(ADDRESS(2,COLUMN())),OFFSET($BN$2,0,0,ROW()-1,60),ROW()-1,FALSE))</f>
        <v>21021.65</v>
      </c>
      <c r="BI117">
        <f ca="1">IF(AND(ISNUMBER($BI$254),$B$145=1),$BI$254,HLOOKUP(INDIRECT(ADDRESS(2,COLUMN())),OFFSET($BN$2,0,0,ROW()-1,60),ROW()-1,FALSE))</f>
        <v>21167.494999999999</v>
      </c>
      <c r="BJ117">
        <f ca="1">IF(AND(ISNUMBER($BJ$254),$B$145=1),$BJ$254,HLOOKUP(INDIRECT(ADDRESS(2,COLUMN())),OFFSET($BN$2,0,0,ROW()-1,60),ROW()-1,FALSE))</f>
        <v>20806.659</v>
      </c>
      <c r="BK117">
        <f ca="1">IF(AND(ISNUMBER($BK$254),$B$145=1),$BK$254,HLOOKUP(INDIRECT(ADDRESS(2,COLUMN())),OFFSET($BN$2,0,0,ROW()-1,60),ROW()-1,FALSE))</f>
        <v>21049.291000000001</v>
      </c>
      <c r="BL117">
        <f ca="1">IF(AND(ISNUMBER($BL$254),$B$145=1),$BL$254,HLOOKUP(INDIRECT(ADDRESS(2,COLUMN())),OFFSET($BN$2,0,0,ROW()-1,60),ROW()-1,FALSE))</f>
        <v>21105.769</v>
      </c>
      <c r="BM117" t="str">
        <f ca="1">IF(AND(ISNUMBER($BM$254),$B$145=1),$BM$254,HLOOKUP(INDIRECT(ADDRESS(2,COLUMN())),OFFSET($BN$2,0,0,ROW()-1,60),ROW()-1,FALSE))</f>
        <v/>
      </c>
      <c r="BN117">
        <f>223720</f>
        <v>223720</v>
      </c>
      <c r="BO117">
        <f>220567</f>
        <v>220567</v>
      </c>
      <c r="BP117">
        <f>219832</f>
        <v>219832</v>
      </c>
      <c r="BQ117">
        <f>217855</f>
        <v>217855</v>
      </c>
      <c r="BR117">
        <f>213766.628</f>
        <v>213766.628</v>
      </c>
      <c r="BS117">
        <f>213766.3</f>
        <v>213766.3</v>
      </c>
      <c r="BT117">
        <f>209515.076</f>
        <v>209515.076</v>
      </c>
      <c r="BU117">
        <f>214710.674</f>
        <v>214710.674</v>
      </c>
      <c r="BV117">
        <f>109298.424</f>
        <v>109298.424</v>
      </c>
      <c r="BW117">
        <f>109310.039</f>
        <v>109310.039</v>
      </c>
      <c r="BX117">
        <f>107672.569</f>
        <v>107672.569</v>
      </c>
      <c r="BY117">
        <f>108596.694</f>
        <v>108596.694</v>
      </c>
      <c r="BZ117">
        <f>58308.14</f>
        <v>58308.14</v>
      </c>
      <c r="CA117">
        <f>56901.977</f>
        <v>56901.976999999999</v>
      </c>
      <c r="CB117">
        <f>55175.318</f>
        <v>55175.317999999999</v>
      </c>
      <c r="CC117">
        <f>53908.606</f>
        <v>53908.606</v>
      </c>
      <c r="CD117">
        <f>49957.68</f>
        <v>49957.68</v>
      </c>
      <c r="CE117">
        <f>48666.873</f>
        <v>48666.873</v>
      </c>
      <c r="CF117">
        <f>47866.194</f>
        <v>47866.194000000003</v>
      </c>
      <c r="CG117">
        <f>41594.453</f>
        <v>41594.453000000001</v>
      </c>
      <c r="CH117">
        <f>39824.496</f>
        <v>39824.495999999999</v>
      </c>
      <c r="CI117">
        <f>37748.324</f>
        <v>37748.324000000001</v>
      </c>
      <c r="CJ117">
        <f>37655.094</f>
        <v>37655.093999999997</v>
      </c>
      <c r="CK117">
        <f>35961.67</f>
        <v>35961.67</v>
      </c>
      <c r="CL117">
        <f>35408.629</f>
        <v>35408.629000000001</v>
      </c>
      <c r="CM117">
        <f>34954.659</f>
        <v>34954.659</v>
      </c>
      <c r="CN117">
        <f>35088.566</f>
        <v>35088.565999999999</v>
      </c>
      <c r="CO117">
        <f>34436.437</f>
        <v>34436.436999999998</v>
      </c>
      <c r="CP117">
        <f>34527.512</f>
        <v>34527.512000000002</v>
      </c>
      <c r="CQ117">
        <f>34584.154</f>
        <v>34584.154000000002</v>
      </c>
      <c r="CR117">
        <f>34769.85</f>
        <v>34769.85</v>
      </c>
      <c r="CS117">
        <f>34018.405</f>
        <v>34018.404999999999</v>
      </c>
      <c r="CT117">
        <f>32990.836</f>
        <v>32990.836000000003</v>
      </c>
      <c r="CU117">
        <f>32971.91</f>
        <v>32971.910000000003</v>
      </c>
      <c r="CV117">
        <f>32230.403</f>
        <v>32230.402999999998</v>
      </c>
      <c r="CW117">
        <f>32195.657</f>
        <v>32195.656999999999</v>
      </c>
      <c r="CX117">
        <f>31475.934</f>
        <v>31475.934000000001</v>
      </c>
      <c r="CY117">
        <f>31449.824</f>
        <v>31449.824000000001</v>
      </c>
      <c r="CZ117">
        <f>30896.855</f>
        <v>30896.855</v>
      </c>
      <c r="DA117">
        <f>30853.649</f>
        <v>30853.649000000001</v>
      </c>
      <c r="DB117">
        <f>30075.113</f>
        <v>30075.113000000001</v>
      </c>
      <c r="DC117">
        <f>21942.491</f>
        <v>21942.491000000002</v>
      </c>
      <c r="DD117">
        <f>22062.84</f>
        <v>22062.84</v>
      </c>
      <c r="DE117">
        <f>22154.997</f>
        <v>22154.996999999999</v>
      </c>
      <c r="DF117">
        <f>21199.091</f>
        <v>21199.091</v>
      </c>
      <c r="DG117">
        <f>21511.352</f>
        <v>21511.351999999999</v>
      </c>
      <c r="DH117">
        <f>21308.822</f>
        <v>21308.822</v>
      </c>
      <c r="DI117">
        <f>21351.012</f>
        <v>21351.011999999999</v>
      </c>
      <c r="DJ117">
        <f>21283.651</f>
        <v>21283.651000000002</v>
      </c>
      <c r="DK117">
        <f>21173.619</f>
        <v>21173.618999999999</v>
      </c>
      <c r="DL117">
        <f>21240.99</f>
        <v>21240.99</v>
      </c>
      <c r="DM117">
        <f>21143.628</f>
        <v>21143.628000000001</v>
      </c>
      <c r="DN117">
        <f>20881.494</f>
        <v>20881.493999999999</v>
      </c>
      <c r="DO117">
        <f>21015.345</f>
        <v>21015.345000000001</v>
      </c>
      <c r="DP117">
        <f>21021.65</f>
        <v>21021.65</v>
      </c>
      <c r="DQ117">
        <f>21167.495</f>
        <v>21167.494999999999</v>
      </c>
      <c r="DR117">
        <f>20806.659</f>
        <v>20806.659</v>
      </c>
      <c r="DS117">
        <f>21049.291</f>
        <v>21049.291000000001</v>
      </c>
      <c r="DT117">
        <f>21105.769</f>
        <v>21105.769</v>
      </c>
      <c r="DU117" t="str">
        <f>""</f>
        <v/>
      </c>
    </row>
    <row r="118" spans="1:125" x14ac:dyDescent="0.25">
      <c r="A118" t="str">
        <f>"            Flagstar Financial Inc"</f>
        <v xml:space="preserve">            Flagstar Financial Inc</v>
      </c>
      <c r="B118" t="str">
        <f>"FLG US Equity"</f>
        <v>FLG US Equity</v>
      </c>
      <c r="C118" t="str">
        <f t="shared" si="16"/>
        <v>FC001</v>
      </c>
      <c r="D118" t="str">
        <f t="shared" si="17"/>
        <v>FDIC_TOTAL_ASSETS</v>
      </c>
      <c r="E118" t="str">
        <f t="shared" si="18"/>
        <v>Dynamic</v>
      </c>
      <c r="F118" t="str">
        <f ca="1">IF(AND(ISNUMBER($F$255),$B$145=1),$F$255,HLOOKUP(INDIRECT(ADDRESS(2,COLUMN())),OFFSET($BN$2,0,0,ROW()-1,60),ROW()-1,FALSE))</f>
        <v/>
      </c>
      <c r="G118">
        <f ca="1">IF(AND(ISNUMBER($G$255),$B$145=1),$G$255,HLOOKUP(INDIRECT(ADDRESS(2,COLUMN())),OFFSET($BN$2,0,0,ROW()-1,60),ROW()-1,FALSE))</f>
        <v>114366.51</v>
      </c>
      <c r="H118">
        <f ca="1">IF(AND(ISNUMBER($H$255),$B$145=1),$H$255,HLOOKUP(INDIRECT(ADDRESS(2,COLUMN())),OFFSET($BN$2,0,0,ROW()-1,60),ROW()-1,FALSE))</f>
        <v>119055.231</v>
      </c>
      <c r="I118">
        <f ca="1">IF(AND(ISNUMBER($I$255),$B$145=1),$I$255,HLOOKUP(INDIRECT(ADDRESS(2,COLUMN())),OFFSET($BN$2,0,0,ROW()-1,60),ROW()-1,FALSE))</f>
        <v>112899.652</v>
      </c>
      <c r="J118">
        <f ca="1">IF(AND(ISNUMBER($J$255),$B$145=1),$J$255,HLOOKUP(INDIRECT(ADDRESS(2,COLUMN())),OFFSET($BN$2,0,0,ROW()-1,60),ROW()-1,FALSE))</f>
        <v>114056.674</v>
      </c>
      <c r="K118">
        <f ca="1">IF(AND(ISNUMBER($K$255),$B$145=1),$K$255,HLOOKUP(INDIRECT(ADDRESS(2,COLUMN())),OFFSET($BN$2,0,0,ROW()-1,60),ROW()-1,FALSE))</f>
        <v>111229.935</v>
      </c>
      <c r="L118">
        <f ca="1">IF(AND(ISNUMBER($L$255),$B$145=1),$L$255,HLOOKUP(INDIRECT(ADDRESS(2,COLUMN())),OFFSET($BN$2,0,0,ROW()-1,60),ROW()-1,FALSE))</f>
        <v>118796.42600000001</v>
      </c>
      <c r="M118">
        <f ca="1">IF(AND(ISNUMBER($M$255),$B$145=1),$M$255,HLOOKUP(INDIRECT(ADDRESS(2,COLUMN())),OFFSET($BN$2,0,0,ROW()-1,60),ROW()-1,FALSE))</f>
        <v>123706.375</v>
      </c>
      <c r="N118">
        <f ca="1">IF(AND(ISNUMBER($N$255),$B$145=1),$N$255,HLOOKUP(INDIRECT(ADDRESS(2,COLUMN())),OFFSET($BN$2,0,0,ROW()-1,60),ROW()-1,FALSE))</f>
        <v>90144.301999999996</v>
      </c>
      <c r="O118">
        <f ca="1">IF(AND(ISNUMBER($O$255),$B$145=1),$O$255,HLOOKUP(INDIRECT(ADDRESS(2,COLUMN())),OFFSET($BN$2,0,0,ROW()-1,60),ROW()-1,FALSE))</f>
        <v>62956.248</v>
      </c>
      <c r="P118">
        <f ca="1">IF(AND(ISNUMBER($P$255),$B$145=1),$P$255,HLOOKUP(INDIRECT(ADDRESS(2,COLUMN())),OFFSET($BN$2,0,0,ROW()-1,60),ROW()-1,FALSE))</f>
        <v>63093.283000000003</v>
      </c>
      <c r="Q118">
        <f ca="1">IF(AND(ISNUMBER($Q$255),$B$145=1),$Q$255,HLOOKUP(INDIRECT(ADDRESS(2,COLUMN())),OFFSET($BN$2,0,0,ROW()-1,60),ROW()-1,FALSE))</f>
        <v>61005.398000000001</v>
      </c>
      <c r="R118">
        <f ca="1">IF(AND(ISNUMBER($R$255),$B$145=1),$R$255,HLOOKUP(INDIRECT(ADDRESS(2,COLUMN())),OFFSET($BN$2,0,0,ROW()-1,60),ROW()-1,FALSE))</f>
        <v>59527.144</v>
      </c>
      <c r="S118">
        <f ca="1">IF(AND(ISNUMBER($S$255),$B$145=1),$S$255,HLOOKUP(INDIRECT(ADDRESS(2,COLUMN())),OFFSET($BN$2,0,0,ROW()-1,60),ROW()-1,FALSE))</f>
        <v>57890.106</v>
      </c>
      <c r="T118">
        <f ca="1">IF(AND(ISNUMBER($T$255),$B$145=1),$T$255,HLOOKUP(INDIRECT(ADDRESS(2,COLUMN())),OFFSET($BN$2,0,0,ROW()-1,60),ROW()-1,FALSE))</f>
        <v>57468.934000000001</v>
      </c>
      <c r="U118">
        <f ca="1">IF(AND(ISNUMBER($U$255),$B$145=1),$U$255,HLOOKUP(INDIRECT(ADDRESS(2,COLUMN())),OFFSET($BN$2,0,0,ROW()-1,60),ROW()-1,FALSE))</f>
        <v>57656.892</v>
      </c>
      <c r="V118">
        <f ca="1">IF(AND(ISNUMBER($V$255),$B$145=1),$V$255,HLOOKUP(INDIRECT(ADDRESS(2,COLUMN())),OFFSET($BN$2,0,0,ROW()-1,60),ROW()-1,FALSE))</f>
        <v>56306.12</v>
      </c>
      <c r="W118">
        <f ca="1">IF(AND(ISNUMBER($W$255),$B$145=1),$W$255,HLOOKUP(INDIRECT(ADDRESS(2,COLUMN())),OFFSET($BN$2,0,0,ROW()-1,60),ROW()-1,FALSE))</f>
        <v>54931.754999999997</v>
      </c>
      <c r="X118">
        <f ca="1">IF(AND(ISNUMBER($X$255),$B$145=1),$X$255,HLOOKUP(INDIRECT(ADDRESS(2,COLUMN())),OFFSET($BN$2,0,0,ROW()-1,60),ROW()-1,FALSE))</f>
        <v>54210.415999999997</v>
      </c>
      <c r="Y118">
        <f ca="1">IF(AND(ISNUMBER($Y$255),$B$145=1),$Y$255,HLOOKUP(INDIRECT(ADDRESS(2,COLUMN())),OFFSET($BN$2,0,0,ROW()-1,60),ROW()-1,FALSE))</f>
        <v>54261.093000000001</v>
      </c>
      <c r="Z118">
        <f ca="1">IF(AND(ISNUMBER($Z$255),$B$145=1),$Z$255,HLOOKUP(INDIRECT(ADDRESS(2,COLUMN())),OFFSET($BN$2,0,0,ROW()-1,60),ROW()-1,FALSE))</f>
        <v>53640.821000000004</v>
      </c>
      <c r="AA118">
        <f ca="1">IF(AND(ISNUMBER($AA$255),$B$145=1),$AA$255,HLOOKUP(INDIRECT(ADDRESS(2,COLUMN())),OFFSET($BN$2,0,0,ROW()-1,60),ROW()-1,FALSE))</f>
        <v>52537.629000000001</v>
      </c>
      <c r="AB118">
        <f ca="1">IF(AND(ISNUMBER($AB$255),$B$145=1),$AB$255,HLOOKUP(INDIRECT(ADDRESS(2,COLUMN())),OFFSET($BN$2,0,0,ROW()-1,60),ROW()-1,FALSE))</f>
        <v>52776.254000000001</v>
      </c>
      <c r="AC118">
        <f ca="1">IF(AND(ISNUMBER($AC$255),$B$145=1),$AC$255,HLOOKUP(INDIRECT(ADDRESS(2,COLUMN())),OFFSET($BN$2,0,0,ROW()-1,60),ROW()-1,FALSE))</f>
        <v>52131.044999999998</v>
      </c>
      <c r="AD118">
        <f ca="1">IF(AND(ISNUMBER($AD$255),$B$145=1),$AD$255,HLOOKUP(INDIRECT(ADDRESS(2,COLUMN())),OFFSET($BN$2,0,0,ROW()-1,60),ROW()-1,FALSE))</f>
        <v>51899.375999999997</v>
      </c>
      <c r="AE118">
        <f ca="1">IF(AND(ISNUMBER($AE$255),$B$145=1),$AE$255,HLOOKUP(INDIRECT(ADDRESS(2,COLUMN())),OFFSET($BN$2,0,0,ROW()-1,60),ROW()-1,FALSE))</f>
        <v>51246.654000000002</v>
      </c>
      <c r="AF118">
        <f ca="1">IF(AND(ISNUMBER($AF$255),$B$145=1),$AF$255,HLOOKUP(INDIRECT(ADDRESS(2,COLUMN())),OFFSET($BN$2,0,0,ROW()-1,60),ROW()-1,FALSE))</f>
        <v>50469.17</v>
      </c>
      <c r="AG118">
        <f ca="1">IF(AND(ISNUMBER($AG$255),$B$145=1),$AG$255,HLOOKUP(INDIRECT(ADDRESS(2,COLUMN())),OFFSET($BN$2,0,0,ROW()-1,60),ROW()-1,FALSE))</f>
        <v>49654.874000000003</v>
      </c>
      <c r="AH118">
        <f ca="1">IF(AND(ISNUMBER($AH$255),$B$145=1),$AH$255,HLOOKUP(INDIRECT(ADDRESS(2,COLUMN())),OFFSET($BN$2,0,0,ROW()-1,60),ROW()-1,FALSE))</f>
        <v>49124.195</v>
      </c>
      <c r="AI118">
        <f ca="1">IF(AND(ISNUMBER($AI$255),$B$145=1),$AI$255,HLOOKUP(INDIRECT(ADDRESS(2,COLUMN())),OFFSET($BN$2,0,0,ROW()-1,60),ROW()-1,FALSE))</f>
        <v>48457.891000000003</v>
      </c>
      <c r="AJ118">
        <f ca="1">IF(AND(ISNUMBER($AJ$255),$B$145=1),$AJ$255,HLOOKUP(INDIRECT(ADDRESS(2,COLUMN())),OFFSET($BN$2,0,0,ROW()-1,60),ROW()-1,FALSE))</f>
        <v>48347.658000000003</v>
      </c>
      <c r="AK118">
        <f ca="1">IF(AND(ISNUMBER($AK$255),$B$145=1),$AK$255,HLOOKUP(INDIRECT(ADDRESS(2,COLUMN())),OFFSET($BN$2,0,0,ROW()-1,60),ROW()-1,FALSE))</f>
        <v>48824.563999999998</v>
      </c>
      <c r="AL118">
        <f ca="1">IF(AND(ISNUMBER($AL$255),$B$145=1),$AL$255,HLOOKUP(INDIRECT(ADDRESS(2,COLUMN())),OFFSET($BN$2,0,0,ROW()-1,60),ROW()-1,FALSE))</f>
        <v>48926.555</v>
      </c>
      <c r="AM118">
        <f ca="1">IF(AND(ISNUMBER($AM$255),$B$145=1),$AM$255,HLOOKUP(INDIRECT(ADDRESS(2,COLUMN())),OFFSET($BN$2,0,0,ROW()-1,60),ROW()-1,FALSE))</f>
        <v>49462.62</v>
      </c>
      <c r="AN118">
        <f ca="1">IF(AND(ISNUMBER($AN$255),$B$145=1),$AN$255,HLOOKUP(INDIRECT(ADDRESS(2,COLUMN())),OFFSET($BN$2,0,0,ROW()-1,60),ROW()-1,FALSE))</f>
        <v>49035.747000000003</v>
      </c>
      <c r="AO118">
        <f ca="1">IF(AND(ISNUMBER($AO$255),$B$145=1),$AO$255,HLOOKUP(INDIRECT(ADDRESS(2,COLUMN())),OFFSET($BN$2,0,0,ROW()-1,60),ROW()-1,FALSE))</f>
        <v>48515.572</v>
      </c>
      <c r="AP118">
        <f ca="1">IF(AND(ISNUMBER($AP$255),$B$145=1),$AP$255,HLOOKUP(INDIRECT(ADDRESS(2,COLUMN())),OFFSET($BN$2,0,0,ROW()-1,60),ROW()-1,FALSE))</f>
        <v>50317.796000000002</v>
      </c>
      <c r="AQ118">
        <f ca="1">IF(AND(ISNUMBER($AQ$255),$B$145=1),$AQ$255,HLOOKUP(INDIRECT(ADDRESS(2,COLUMN())),OFFSET($BN$2,0,0,ROW()-1,60),ROW()-1,FALSE))</f>
        <v>49045.482000000004</v>
      </c>
      <c r="AR118">
        <f ca="1">IF(AND(ISNUMBER($AR$255),$B$145=1),$AR$255,HLOOKUP(INDIRECT(ADDRESS(2,COLUMN())),OFFSET($BN$2,0,0,ROW()-1,60),ROW()-1,FALSE))</f>
        <v>48648.531999999999</v>
      </c>
      <c r="AS118">
        <f ca="1">IF(AND(ISNUMBER($AS$255),$B$145=1),$AS$255,HLOOKUP(INDIRECT(ADDRESS(2,COLUMN())),OFFSET($BN$2,0,0,ROW()-1,60),ROW()-1,FALSE))</f>
        <v>48251.714999999997</v>
      </c>
      <c r="AT118">
        <f ca="1">IF(AND(ISNUMBER($AT$255),$B$145=1),$AT$255,HLOOKUP(INDIRECT(ADDRESS(2,COLUMN())),OFFSET($BN$2,0,0,ROW()-1,60),ROW()-1,FALSE))</f>
        <v>48559.216999999997</v>
      </c>
      <c r="AU118">
        <f ca="1">IF(AND(ISNUMBER($AU$255),$B$145=1),$AU$255,HLOOKUP(INDIRECT(ADDRESS(2,COLUMN())),OFFSET($BN$2,0,0,ROW()-1,60),ROW()-1,FALSE))</f>
        <v>48679.771999999997</v>
      </c>
      <c r="AV118">
        <f ca="1">IF(AND(ISNUMBER($AV$255),$B$145=1),$AV$255,HLOOKUP(INDIRECT(ADDRESS(2,COLUMN())),OFFSET($BN$2,0,0,ROW()-1,60),ROW()-1,FALSE))</f>
        <v>48604.771999999997</v>
      </c>
      <c r="AW118">
        <f ca="1">IF(AND(ISNUMBER($AW$255),$B$145=1),$AW$255,HLOOKUP(INDIRECT(ADDRESS(2,COLUMN())),OFFSET($BN$2,0,0,ROW()-1,60),ROW()-1,FALSE))</f>
        <v>47567.47</v>
      </c>
      <c r="AX118">
        <f ca="1">IF(AND(ISNUMBER($AX$255),$B$145=1),$AX$255,HLOOKUP(INDIRECT(ADDRESS(2,COLUMN())),OFFSET($BN$2,0,0,ROW()-1,60),ROW()-1,FALSE))</f>
        <v>46688.286999999997</v>
      </c>
      <c r="AY118">
        <f ca="1">IF(AND(ISNUMBER($AY$255),$B$145=1),$AY$255,HLOOKUP(INDIRECT(ADDRESS(2,COLUMN())),OFFSET($BN$2,0,0,ROW()-1,60),ROW()-1,FALSE))</f>
        <v>45764.133000000002</v>
      </c>
      <c r="AZ118">
        <f ca="1">IF(AND(ISNUMBER($AZ$255),$B$145=1),$AZ$255,HLOOKUP(INDIRECT(ADDRESS(2,COLUMN())),OFFSET($BN$2,0,0,ROW()-1,60),ROW()-1,FALSE))</f>
        <v>44185.838000000003</v>
      </c>
      <c r="BA118">
        <f ca="1">IF(AND(ISNUMBER($BA$255),$B$145=1),$BA$255,HLOOKUP(INDIRECT(ADDRESS(2,COLUMN())),OFFSET($BN$2,0,0,ROW()-1,60),ROW()-1,FALSE))</f>
        <v>44511.718000000001</v>
      </c>
      <c r="BB118">
        <f ca="1">IF(AND(ISNUMBER($BB$255),$B$145=1),$BB$255,HLOOKUP(INDIRECT(ADDRESS(2,COLUMN())),OFFSET($BN$2,0,0,ROW()-1,60),ROW()-1,FALSE))</f>
        <v>44149.466</v>
      </c>
      <c r="BC118">
        <f ca="1">IF(AND(ISNUMBER($BC$255),$B$145=1),$BC$255,HLOOKUP(INDIRECT(ADDRESS(2,COLUMN())),OFFSET($BN$2,0,0,ROW()-1,60),ROW()-1,FALSE))</f>
        <v>44075.366000000002</v>
      </c>
      <c r="BD118">
        <f ca="1">IF(AND(ISNUMBER($BD$255),$B$145=1),$BD$255,HLOOKUP(INDIRECT(ADDRESS(2,COLUMN())),OFFSET($BN$2,0,0,ROW()-1,60),ROW()-1,FALSE))</f>
        <v>43501.093999999997</v>
      </c>
      <c r="BE118">
        <f ca="1">IF(AND(ISNUMBER($BE$255),$B$145=1),$BE$255,HLOOKUP(INDIRECT(ADDRESS(2,COLUMN())),OFFSET($BN$2,0,0,ROW()-1,60),ROW()-1,FALSE))</f>
        <v>43042.45</v>
      </c>
      <c r="BF118">
        <f ca="1">IF(AND(ISNUMBER($BF$255),$B$145=1),$BF$255,HLOOKUP(INDIRECT(ADDRESS(2,COLUMN())),OFFSET($BN$2,0,0,ROW()-1,60),ROW()-1,FALSE))</f>
        <v>42026.245000000003</v>
      </c>
      <c r="BG118">
        <f ca="1">IF(AND(ISNUMBER($BG$255),$B$145=1),$BG$255,HLOOKUP(INDIRECT(ADDRESS(2,COLUMN())),OFFSET($BN$2,0,0,ROW()-1,60),ROW()-1,FALSE))</f>
        <v>41940.252999999997</v>
      </c>
      <c r="BH118">
        <f ca="1">IF(AND(ISNUMBER($BH$255),$B$145=1),$BH$255,HLOOKUP(INDIRECT(ADDRESS(2,COLUMN())),OFFSET($BN$2,0,0,ROW()-1,60),ROW()-1,FALSE))</f>
        <v>40612.271000000001</v>
      </c>
      <c r="BI118">
        <f ca="1">IF(AND(ISNUMBER($BI$255),$B$145=1),$BI$255,HLOOKUP(INDIRECT(ADDRESS(2,COLUMN())),OFFSET($BN$2,0,0,ROW()-1,60),ROW()-1,FALSE))</f>
        <v>41047.855000000003</v>
      </c>
      <c r="BJ118">
        <f ca="1">IF(AND(ISNUMBER($BJ$255),$B$145=1),$BJ$255,HLOOKUP(INDIRECT(ADDRESS(2,COLUMN())),OFFSET($BN$2,0,0,ROW()-1,60),ROW()-1,FALSE))</f>
        <v>41160.281000000003</v>
      </c>
      <c r="BK118">
        <f ca="1">IF(AND(ISNUMBER($BK$255),$B$145=1),$BK$255,HLOOKUP(INDIRECT(ADDRESS(2,COLUMN())),OFFSET($BN$2,0,0,ROW()-1,60),ROW()-1,FALSE))</f>
        <v>41719.226999999999</v>
      </c>
      <c r="BL118">
        <f ca="1">IF(AND(ISNUMBER($BL$255),$B$145=1),$BL$255,HLOOKUP(INDIRECT(ADDRESS(2,COLUMN())),OFFSET($BN$2,0,0,ROW()-1,60),ROW()-1,FALSE))</f>
        <v>42026.690999999999</v>
      </c>
      <c r="BM118">
        <f ca="1">IF(AND(ISNUMBER($BM$255),$B$145=1),$BM$255,HLOOKUP(INDIRECT(ADDRESS(2,COLUMN())),OFFSET($BN$2,0,0,ROW()-1,60),ROW()-1,FALSE))</f>
        <v>42446.03</v>
      </c>
      <c r="BN118" t="str">
        <f>""</f>
        <v/>
      </c>
      <c r="BO118">
        <f>114366.51</f>
        <v>114366.51</v>
      </c>
      <c r="BP118">
        <f>119055.231</f>
        <v>119055.231</v>
      </c>
      <c r="BQ118">
        <f>112899.652</f>
        <v>112899.652</v>
      </c>
      <c r="BR118">
        <f>114056.674</f>
        <v>114056.674</v>
      </c>
      <c r="BS118">
        <f>111229.935</f>
        <v>111229.935</v>
      </c>
      <c r="BT118">
        <f>118796.426</f>
        <v>118796.42600000001</v>
      </c>
      <c r="BU118">
        <f>123706.375</f>
        <v>123706.375</v>
      </c>
      <c r="BV118">
        <f>90144.302</f>
        <v>90144.301999999996</v>
      </c>
      <c r="BW118">
        <f>62956.248</f>
        <v>62956.248</v>
      </c>
      <c r="BX118">
        <f>63093.283</f>
        <v>63093.283000000003</v>
      </c>
      <c r="BY118">
        <f>61005.398</f>
        <v>61005.398000000001</v>
      </c>
      <c r="BZ118">
        <f>59527.144</f>
        <v>59527.144</v>
      </c>
      <c r="CA118">
        <f>57890.106</f>
        <v>57890.106</v>
      </c>
      <c r="CB118">
        <f>57468.934</f>
        <v>57468.934000000001</v>
      </c>
      <c r="CC118">
        <f>57656.892</f>
        <v>57656.892</v>
      </c>
      <c r="CD118">
        <f>56306.12</f>
        <v>56306.12</v>
      </c>
      <c r="CE118">
        <f>54931.755</f>
        <v>54931.754999999997</v>
      </c>
      <c r="CF118">
        <f>54210.416</f>
        <v>54210.415999999997</v>
      </c>
      <c r="CG118">
        <f>54261.093</f>
        <v>54261.093000000001</v>
      </c>
      <c r="CH118">
        <f>53640.821</f>
        <v>53640.821000000004</v>
      </c>
      <c r="CI118">
        <f>52537.629</f>
        <v>52537.629000000001</v>
      </c>
      <c r="CJ118">
        <f>52776.254</f>
        <v>52776.254000000001</v>
      </c>
      <c r="CK118">
        <f>52131.045</f>
        <v>52131.044999999998</v>
      </c>
      <c r="CL118">
        <f>51899.376</f>
        <v>51899.375999999997</v>
      </c>
      <c r="CM118">
        <f>51246.654</f>
        <v>51246.654000000002</v>
      </c>
      <c r="CN118">
        <f>50469.17</f>
        <v>50469.17</v>
      </c>
      <c r="CO118">
        <f>49654.874</f>
        <v>49654.874000000003</v>
      </c>
      <c r="CP118">
        <f>49124.195</f>
        <v>49124.195</v>
      </c>
      <c r="CQ118">
        <f>48457.891</f>
        <v>48457.891000000003</v>
      </c>
      <c r="CR118">
        <f>48347.658</f>
        <v>48347.658000000003</v>
      </c>
      <c r="CS118">
        <f>48824.564</f>
        <v>48824.563999999998</v>
      </c>
      <c r="CT118">
        <f>48926.555</f>
        <v>48926.555</v>
      </c>
      <c r="CU118">
        <f>49462.62</f>
        <v>49462.62</v>
      </c>
      <c r="CV118">
        <f>49035.747</f>
        <v>49035.747000000003</v>
      </c>
      <c r="CW118">
        <f>48515.572</f>
        <v>48515.572</v>
      </c>
      <c r="CX118">
        <f>50317.796</f>
        <v>50317.796000000002</v>
      </c>
      <c r="CY118">
        <f>49045.482</f>
        <v>49045.482000000004</v>
      </c>
      <c r="CZ118">
        <f>48648.532</f>
        <v>48648.531999999999</v>
      </c>
      <c r="DA118">
        <f>48251.715</f>
        <v>48251.714999999997</v>
      </c>
      <c r="DB118">
        <f>48559.217</f>
        <v>48559.216999999997</v>
      </c>
      <c r="DC118">
        <f>48679.772</f>
        <v>48679.771999999997</v>
      </c>
      <c r="DD118">
        <f>48604.772</f>
        <v>48604.771999999997</v>
      </c>
      <c r="DE118">
        <f>47567.47</f>
        <v>47567.47</v>
      </c>
      <c r="DF118">
        <f>46688.287</f>
        <v>46688.286999999997</v>
      </c>
      <c r="DG118">
        <f>45764.133</f>
        <v>45764.133000000002</v>
      </c>
      <c r="DH118">
        <f>44185.838</f>
        <v>44185.838000000003</v>
      </c>
      <c r="DI118">
        <f>44511.718</f>
        <v>44511.718000000001</v>
      </c>
      <c r="DJ118">
        <f>44149.466</f>
        <v>44149.466</v>
      </c>
      <c r="DK118">
        <f>44075.366</f>
        <v>44075.366000000002</v>
      </c>
      <c r="DL118">
        <f>43501.094</f>
        <v>43501.093999999997</v>
      </c>
      <c r="DM118">
        <f>43042.45</f>
        <v>43042.45</v>
      </c>
      <c r="DN118">
        <f>42026.245</f>
        <v>42026.245000000003</v>
      </c>
      <c r="DO118">
        <f>41940.253</f>
        <v>41940.252999999997</v>
      </c>
      <c r="DP118">
        <f>40612.271</f>
        <v>40612.271000000001</v>
      </c>
      <c r="DQ118">
        <f>41047.855</f>
        <v>41047.855000000003</v>
      </c>
      <c r="DR118">
        <f>41160.281</f>
        <v>41160.281000000003</v>
      </c>
      <c r="DS118">
        <f>41719.227</f>
        <v>41719.226999999999</v>
      </c>
      <c r="DT118">
        <f>42026.691</f>
        <v>42026.690999999999</v>
      </c>
      <c r="DU118">
        <f>42446.03</f>
        <v>42446.03</v>
      </c>
    </row>
    <row r="119" spans="1:125" x14ac:dyDescent="0.25">
      <c r="A119" t="str">
        <f>"            Huntington Bancshares Inc/OH"</f>
        <v xml:space="preserve">            Huntington Bancshares Inc/OH</v>
      </c>
      <c r="B119" t="str">
        <f>"HBAN US Equity"</f>
        <v>HBAN US Equity</v>
      </c>
      <c r="C119" t="str">
        <f t="shared" si="16"/>
        <v>FC001</v>
      </c>
      <c r="D119" t="str">
        <f t="shared" si="17"/>
        <v>FDIC_TOTAL_ASSETS</v>
      </c>
      <c r="E119" t="str">
        <f t="shared" si="18"/>
        <v>Dynamic</v>
      </c>
      <c r="F119">
        <f ca="1">IF(AND(ISNUMBER($F$256),$B$145=1),$F$256,HLOOKUP(INDIRECT(ADDRESS(2,COLUMN())),OFFSET($BN$2,0,0,ROW()-1,60),ROW()-1,FALSE))</f>
        <v>204230.28400000001</v>
      </c>
      <c r="G119">
        <f ca="1">IF(AND(ISNUMBER($G$256),$B$145=1),$G$256,HLOOKUP(INDIRECT(ADDRESS(2,COLUMN())),OFFSET($BN$2,0,0,ROW()-1,60),ROW()-1,FALSE))</f>
        <v>200535.359</v>
      </c>
      <c r="H119">
        <f ca="1">IF(AND(ISNUMBER($H$256),$B$145=1),$H$256,HLOOKUP(INDIRECT(ADDRESS(2,COLUMN())),OFFSET($BN$2,0,0,ROW()-1,60),ROW()-1,FALSE))</f>
        <v>196310.177</v>
      </c>
      <c r="I119">
        <f ca="1">IF(AND(ISNUMBER($I$256),$B$145=1),$I$256,HLOOKUP(INDIRECT(ADDRESS(2,COLUMN())),OFFSET($BN$2,0,0,ROW()-1,60),ROW()-1,FALSE))</f>
        <v>193518.785</v>
      </c>
      <c r="J119">
        <f ca="1">IF(AND(ISNUMBER($J$256),$B$145=1),$J$256,HLOOKUP(INDIRECT(ADDRESS(2,COLUMN())),OFFSET($BN$2,0,0,ROW()-1,60),ROW()-1,FALSE))</f>
        <v>189368.21599999999</v>
      </c>
      <c r="K119">
        <f ca="1">IF(AND(ISNUMBER($K$256),$B$145=1),$K$256,HLOOKUP(INDIRECT(ADDRESS(2,COLUMN())),OFFSET($BN$2,0,0,ROW()-1,60),ROW()-1,FALSE))</f>
        <v>186649.799</v>
      </c>
      <c r="L119">
        <f ca="1">IF(AND(ISNUMBER($L$256),$B$145=1),$L$256,HLOOKUP(INDIRECT(ADDRESS(2,COLUMN())),OFFSET($BN$2,0,0,ROW()-1,60),ROW()-1,FALSE))</f>
        <v>188504.62599999999</v>
      </c>
      <c r="M119">
        <f ca="1">IF(AND(ISNUMBER($M$256),$B$145=1),$M$256,HLOOKUP(INDIRECT(ADDRESS(2,COLUMN())),OFFSET($BN$2,0,0,ROW()-1,60),ROW()-1,FALSE))</f>
        <v>189070.31200000001</v>
      </c>
      <c r="N119">
        <f ca="1">IF(AND(ISNUMBER($N$256),$B$145=1),$N$256,HLOOKUP(INDIRECT(ADDRESS(2,COLUMN())),OFFSET($BN$2,0,0,ROW()-1,60),ROW()-1,FALSE))</f>
        <v>182906.272</v>
      </c>
      <c r="O119">
        <f ca="1">IF(AND(ISNUMBER($O$256),$B$145=1),$O$256,HLOOKUP(INDIRECT(ADDRESS(2,COLUMN())),OFFSET($BN$2,0,0,ROW()-1,60),ROW()-1,FALSE))</f>
        <v>179402.155</v>
      </c>
      <c r="P119">
        <f ca="1">IF(AND(ISNUMBER($P$256),$B$145=1),$P$256,HLOOKUP(INDIRECT(ADDRESS(2,COLUMN())),OFFSET($BN$2,0,0,ROW()-1,60),ROW()-1,FALSE))</f>
        <v>178782.402</v>
      </c>
      <c r="Q119">
        <f ca="1">IF(AND(ISNUMBER($Q$256),$B$145=1),$Q$256,HLOOKUP(INDIRECT(ADDRESS(2,COLUMN())),OFFSET($BN$2,0,0,ROW()-1,60),ROW()-1,FALSE))</f>
        <v>176855.51800000001</v>
      </c>
      <c r="R119">
        <f ca="1">IF(AND(ISNUMBER($R$256),$B$145=1),$R$256,HLOOKUP(INDIRECT(ADDRESS(2,COLUMN())),OFFSET($BN$2,0,0,ROW()-1,60),ROW()-1,FALSE))</f>
        <v>174064.22899999999</v>
      </c>
      <c r="S119">
        <f ca="1">IF(AND(ISNUMBER($S$256),$B$145=1),$S$256,HLOOKUP(INDIRECT(ADDRESS(2,COLUMN())),OFFSET($BN$2,0,0,ROW()-1,60),ROW()-1,FALSE))</f>
        <v>173878.18400000001</v>
      </c>
      <c r="T119">
        <f ca="1">IF(AND(ISNUMBER($T$256),$B$145=1),$T$256,HLOOKUP(INDIRECT(ADDRESS(2,COLUMN())),OFFSET($BN$2,0,0,ROW()-1,60),ROW()-1,FALSE))</f>
        <v>175172.057</v>
      </c>
      <c r="U119">
        <f ca="1">IF(AND(ISNUMBER($U$256),$B$145=1),$U$256,HLOOKUP(INDIRECT(ADDRESS(2,COLUMN())),OFFSET($BN$2,0,0,ROW()-1,60),ROW()-1,FALSE))</f>
        <v>125767.69500000001</v>
      </c>
      <c r="V119">
        <f ca="1">IF(AND(ISNUMBER($V$256),$B$145=1),$V$256,HLOOKUP(INDIRECT(ADDRESS(2,COLUMN())),OFFSET($BN$2,0,0,ROW()-1,60),ROW()-1,FALSE))</f>
        <v>123037.648</v>
      </c>
      <c r="W119">
        <f ca="1">IF(AND(ISNUMBER($W$256),$B$145=1),$W$256,HLOOKUP(INDIRECT(ADDRESS(2,COLUMN())),OFFSET($BN$2,0,0,ROW()-1,60),ROW()-1,FALSE))</f>
        <v>120116.07399999999</v>
      </c>
      <c r="X119">
        <f ca="1">IF(AND(ISNUMBER($X$256),$B$145=1),$X$256,HLOOKUP(INDIRECT(ADDRESS(2,COLUMN())),OFFSET($BN$2,0,0,ROW()-1,60),ROW()-1,FALSE))</f>
        <v>118424.50599999999</v>
      </c>
      <c r="Y119">
        <f ca="1">IF(AND(ISNUMBER($Y$256),$B$145=1),$Y$256,HLOOKUP(INDIRECT(ADDRESS(2,COLUMN())),OFFSET($BN$2,0,0,ROW()-1,60),ROW()-1,FALSE))</f>
        <v>113897.24800000001</v>
      </c>
      <c r="Z119">
        <f ca="1">IF(AND(ISNUMBER($Z$256),$B$145=1),$Z$256,HLOOKUP(INDIRECT(ADDRESS(2,COLUMN())),OFFSET($BN$2,0,0,ROW()-1,60),ROW()-1,FALSE))</f>
        <v>109001.821</v>
      </c>
      <c r="AA119">
        <f ca="1">IF(AND(ISNUMBER($AA$256),$B$145=1),$AA$256,HLOOKUP(INDIRECT(ADDRESS(2,COLUMN())),OFFSET($BN$2,0,0,ROW()-1,60),ROW()-1,FALSE))</f>
        <v>108735.23299999999</v>
      </c>
      <c r="AB119">
        <f ca="1">IF(AND(ISNUMBER($AB$256),$B$145=1),$AB$256,HLOOKUP(INDIRECT(ADDRESS(2,COLUMN())),OFFSET($BN$2,0,0,ROW()-1,60),ROW()-1,FALSE))</f>
        <v>108247.19899999999</v>
      </c>
      <c r="AC119">
        <f ca="1">IF(AND(ISNUMBER($AC$256),$B$145=1),$AC$256,HLOOKUP(INDIRECT(ADDRESS(2,COLUMN())),OFFSET($BN$2,0,0,ROW()-1,60),ROW()-1,FALSE))</f>
        <v>108203.287</v>
      </c>
      <c r="AD119">
        <f ca="1">IF(AND(ISNUMBER($AD$256),$B$145=1),$AD$256,HLOOKUP(INDIRECT(ADDRESS(2,COLUMN())),OFFSET($BN$2,0,0,ROW()-1,60),ROW()-1,FALSE))</f>
        <v>108781.444</v>
      </c>
      <c r="AE119">
        <f ca="1">IF(AND(ISNUMBER($AE$256),$B$145=1),$AE$256,HLOOKUP(INDIRECT(ADDRESS(2,COLUMN())),OFFSET($BN$2,0,0,ROW()-1,60),ROW()-1,FALSE))</f>
        <v>105652.344</v>
      </c>
      <c r="AF119">
        <f ca="1">IF(AND(ISNUMBER($AF$256),$B$145=1),$AF$256,HLOOKUP(INDIRECT(ADDRESS(2,COLUMN())),OFFSET($BN$2,0,0,ROW()-1,60),ROW()-1,FALSE))</f>
        <v>105358.398</v>
      </c>
      <c r="AG119">
        <f ca="1">IF(AND(ISNUMBER($AG$256),$B$145=1),$AG$256,HLOOKUP(INDIRECT(ADDRESS(2,COLUMN())),OFFSET($BN$2,0,0,ROW()-1,60),ROW()-1,FALSE))</f>
        <v>104246.66800000001</v>
      </c>
      <c r="AH119">
        <f ca="1">IF(AND(ISNUMBER($AH$256),$B$145=1),$AH$256,HLOOKUP(INDIRECT(ADDRESS(2,COLUMN())),OFFSET($BN$2,0,0,ROW()-1,60),ROW()-1,FALSE))</f>
        <v>104184.505</v>
      </c>
      <c r="AI119">
        <f ca="1">IF(AND(ISNUMBER($AI$256),$B$145=1),$AI$256,HLOOKUP(INDIRECT(ADDRESS(2,COLUMN())),OFFSET($BN$2,0,0,ROW()-1,60),ROW()-1,FALSE))</f>
        <v>101988.125</v>
      </c>
      <c r="AJ119">
        <f ca="1">IF(AND(ISNUMBER($AJ$256),$B$145=1),$AJ$256,HLOOKUP(INDIRECT(ADDRESS(2,COLUMN())),OFFSET($BN$2,0,0,ROW()-1,60),ROW()-1,FALSE))</f>
        <v>101406.77899999999</v>
      </c>
      <c r="AK119">
        <f ca="1">IF(AND(ISNUMBER($AK$256),$B$145=1),$AK$256,HLOOKUP(INDIRECT(ADDRESS(2,COLUMN())),OFFSET($BN$2,0,0,ROW()-1,60),ROW()-1,FALSE))</f>
        <v>100045.50599999999</v>
      </c>
      <c r="AL119">
        <f ca="1">IF(AND(ISNUMBER($AL$256),$B$145=1),$AL$256,HLOOKUP(INDIRECT(ADDRESS(2,COLUMN())),OFFSET($BN$2,0,0,ROW()-1,60),ROW()-1,FALSE))</f>
        <v>99714.096999999994</v>
      </c>
      <c r="AM119">
        <f ca="1">IF(AND(ISNUMBER($AM$256),$B$145=1),$AM$256,HLOOKUP(INDIRECT(ADDRESS(2,COLUMN())),OFFSET($BN$2,0,0,ROW()-1,60),ROW()-1,FALSE))</f>
        <v>100765.412</v>
      </c>
      <c r="AN119">
        <f ca="1">IF(AND(ISNUMBER($AN$256),$B$145=1),$AN$256,HLOOKUP(INDIRECT(ADDRESS(2,COLUMN())),OFFSET($BN$2,0,0,ROW()-1,60),ROW()-1,FALSE))</f>
        <v>73954.016000000003</v>
      </c>
      <c r="AO119">
        <f ca="1">IF(AND(ISNUMBER($AO$256),$B$145=1),$AO$256,HLOOKUP(INDIRECT(ADDRESS(2,COLUMN())),OFFSET($BN$2,0,0,ROW()-1,60),ROW()-1,FALSE))</f>
        <v>72644.967000000004</v>
      </c>
      <c r="AP119">
        <f ca="1">IF(AND(ISNUMBER($AP$256),$B$145=1),$AP$256,HLOOKUP(INDIRECT(ADDRESS(2,COLUMN())),OFFSET($BN$2,0,0,ROW()-1,60),ROW()-1,FALSE))</f>
        <v>71044.551000000007</v>
      </c>
      <c r="AQ119">
        <f ca="1">IF(AND(ISNUMBER($AQ$256),$B$145=1),$AQ$256,HLOOKUP(INDIRECT(ADDRESS(2,COLUMN())),OFFSET($BN$2,0,0,ROW()-1,60),ROW()-1,FALSE))</f>
        <v>70210.178</v>
      </c>
      <c r="AR119">
        <f ca="1">IF(AND(ISNUMBER($AR$256),$B$145=1),$AR$256,HLOOKUP(INDIRECT(ADDRESS(2,COLUMN())),OFFSET($BN$2,0,0,ROW()-1,60),ROW()-1,FALSE))</f>
        <v>68845.648000000001</v>
      </c>
      <c r="AS119">
        <f ca="1">IF(AND(ISNUMBER($AS$256),$B$145=1),$AS$256,HLOOKUP(INDIRECT(ADDRESS(2,COLUMN())),OFFSET($BN$2,0,0,ROW()-1,60),ROW()-1,FALSE))</f>
        <v>68002.660999999993</v>
      </c>
      <c r="AT119">
        <f ca="1">IF(AND(ISNUMBER($AT$256),$B$145=1),$AT$256,HLOOKUP(INDIRECT(ADDRESS(2,COLUMN())),OFFSET($BN$2,0,0,ROW()-1,60),ROW()-1,FALSE))</f>
        <v>66298.009999999995</v>
      </c>
      <c r="AU119">
        <f ca="1">IF(AND(ISNUMBER($AU$256),$B$145=1),$AU$256,HLOOKUP(INDIRECT(ADDRESS(2,COLUMN())),OFFSET($BN$2,0,0,ROW()-1,60),ROW()-1,FALSE))</f>
        <v>64330.629000000001</v>
      </c>
      <c r="AV119">
        <f ca="1">IF(AND(ISNUMBER($AV$256),$B$145=1),$AV$256,HLOOKUP(INDIRECT(ADDRESS(2,COLUMN())),OFFSET($BN$2,0,0,ROW()-1,60),ROW()-1,FALSE))</f>
        <v>63797.112999999998</v>
      </c>
      <c r="AW119">
        <f ca="1">IF(AND(ISNUMBER($AW$256),$B$145=1),$AW$256,HLOOKUP(INDIRECT(ADDRESS(2,COLUMN())),OFFSET($BN$2,0,0,ROW()-1,60),ROW()-1,FALSE))</f>
        <v>61145.752999999997</v>
      </c>
      <c r="AX119">
        <f ca="1">IF(AND(ISNUMBER($AX$256),$B$145=1),$AX$256,HLOOKUP(INDIRECT(ADDRESS(2,COLUMN())),OFFSET($BN$2,0,0,ROW()-1,60),ROW()-1,FALSE))</f>
        <v>59476.343999999997</v>
      </c>
      <c r="AY119">
        <f ca="1">IF(AND(ISNUMBER($AY$256),$B$145=1),$AY$256,HLOOKUP(INDIRECT(ADDRESS(2,COLUMN())),OFFSET($BN$2,0,0,ROW()-1,60),ROW()-1,FALSE))</f>
        <v>56648.250999999997</v>
      </c>
      <c r="AZ119">
        <f ca="1">IF(AND(ISNUMBER($AZ$256),$B$145=1),$AZ$256,HLOOKUP(INDIRECT(ADDRESS(2,COLUMN())),OFFSET($BN$2,0,0,ROW()-1,60),ROW()-1,FALSE))</f>
        <v>56113.686999999998</v>
      </c>
      <c r="BA119">
        <f ca="1">IF(AND(ISNUMBER($BA$256),$B$145=1),$BA$256,HLOOKUP(INDIRECT(ADDRESS(2,COLUMN())),OFFSET($BN$2,0,0,ROW()-1,60),ROW()-1,FALSE))</f>
        <v>56054.966</v>
      </c>
      <c r="BB119">
        <f ca="1">IF(AND(ISNUMBER($BB$256),$B$145=1),$BB$256,HLOOKUP(INDIRECT(ADDRESS(2,COLUMN())),OFFSET($BN$2,0,0,ROW()-1,60),ROW()-1,FALSE))</f>
        <v>56153.184999999998</v>
      </c>
      <c r="BC119">
        <f ca="1">IF(AND(ISNUMBER($BC$256),$B$145=1),$BC$256,HLOOKUP(INDIRECT(ADDRESS(2,COLUMN())),OFFSET($BN$2,0,0,ROW()-1,60),ROW()-1,FALSE))</f>
        <v>56443</v>
      </c>
      <c r="BD119">
        <f ca="1">IF(AND(ISNUMBER($BD$256),$B$145=1),$BD$256,HLOOKUP(INDIRECT(ADDRESS(2,COLUMN())),OFFSET($BN$2,0,0,ROW()-1,60),ROW()-1,FALSE))</f>
        <v>56622.959000000003</v>
      </c>
      <c r="BE119">
        <f ca="1">IF(AND(ISNUMBER($BE$256),$B$145=1),$BE$256,HLOOKUP(INDIRECT(ADDRESS(2,COLUMN())),OFFSET($BN$2,0,0,ROW()-1,60),ROW()-1,FALSE))</f>
        <v>55876.654000000002</v>
      </c>
      <c r="BF119">
        <f ca="1">IF(AND(ISNUMBER($BF$256),$B$145=1),$BF$256,HLOOKUP(INDIRECT(ADDRESS(2,COLUMN())),OFFSET($BN$2,0,0,ROW()-1,60),ROW()-1,FALSE))</f>
        <v>54450.652000000002</v>
      </c>
      <c r="BG119">
        <f ca="1">IF(AND(ISNUMBER($BG$256),$B$145=1),$BG$256,HLOOKUP(INDIRECT(ADDRESS(2,COLUMN())),OFFSET($BN$2,0,0,ROW()-1,60),ROW()-1,FALSE))</f>
        <v>54978.707000000002</v>
      </c>
      <c r="BH119">
        <f ca="1">IF(AND(ISNUMBER($BH$256),$B$145=1),$BH$256,HLOOKUP(INDIRECT(ADDRESS(2,COLUMN())),OFFSET($BN$2,0,0,ROW()-1,60),ROW()-1,FALSE))</f>
        <v>53050.038999999997</v>
      </c>
      <c r="BI119">
        <f ca="1">IF(AND(ISNUMBER($BI$256),$B$145=1),$BI$256,HLOOKUP(INDIRECT(ADDRESS(2,COLUMN())),OFFSET($BN$2,0,0,ROW()-1,60),ROW()-1,FALSE))</f>
        <v>52948.51</v>
      </c>
      <c r="BJ119">
        <f ca="1">IF(AND(ISNUMBER($BJ$256),$B$145=1),$BJ$256,HLOOKUP(INDIRECT(ADDRESS(2,COLUMN())),OFFSET($BN$2,0,0,ROW()-1,60),ROW()-1,FALSE))</f>
        <v>53801.953999999998</v>
      </c>
      <c r="BK119">
        <f ca="1">IF(AND(ISNUMBER($BK$256),$B$145=1),$BK$256,HLOOKUP(INDIRECT(ADDRESS(2,COLUMN())),OFFSET($BN$2,0,0,ROW()-1,60),ROW()-1,FALSE))</f>
        <v>53247.307999999997</v>
      </c>
      <c r="BL119">
        <f ca="1">IF(AND(ISNUMBER($BL$256),$B$145=1),$BL$256,HLOOKUP(INDIRECT(ADDRESS(2,COLUMN())),OFFSET($BN$2,0,0,ROW()-1,60),ROW()-1,FALSE))</f>
        <v>51771.442999999999</v>
      </c>
      <c r="BM119" t="str">
        <f ca="1">IF(AND(ISNUMBER($BM$256),$B$145=1),$BM$256,HLOOKUP(INDIRECT(ADDRESS(2,COLUMN())),OFFSET($BN$2,0,0,ROW()-1,60),ROW()-1,FALSE))</f>
        <v/>
      </c>
      <c r="BN119">
        <f>204230.284</f>
        <v>204230.28400000001</v>
      </c>
      <c r="BO119">
        <f>200535.359</f>
        <v>200535.359</v>
      </c>
      <c r="BP119">
        <f>196310.177</f>
        <v>196310.177</v>
      </c>
      <c r="BQ119">
        <f>193518.785</f>
        <v>193518.785</v>
      </c>
      <c r="BR119">
        <f>189368.216</f>
        <v>189368.21599999999</v>
      </c>
      <c r="BS119">
        <f>186649.799</f>
        <v>186649.799</v>
      </c>
      <c r="BT119">
        <f>188504.626</f>
        <v>188504.62599999999</v>
      </c>
      <c r="BU119">
        <f>189070.312</f>
        <v>189070.31200000001</v>
      </c>
      <c r="BV119">
        <f>182906.272</f>
        <v>182906.272</v>
      </c>
      <c r="BW119">
        <f>179402.155</f>
        <v>179402.155</v>
      </c>
      <c r="BX119">
        <f>178782.402</f>
        <v>178782.402</v>
      </c>
      <c r="BY119">
        <f>176855.518</f>
        <v>176855.51800000001</v>
      </c>
      <c r="BZ119">
        <f>174064.229</f>
        <v>174064.22899999999</v>
      </c>
      <c r="CA119">
        <f>173878.184</f>
        <v>173878.18400000001</v>
      </c>
      <c r="CB119">
        <f>175172.057</f>
        <v>175172.057</v>
      </c>
      <c r="CC119">
        <f>125767.695</f>
        <v>125767.69500000001</v>
      </c>
      <c r="CD119">
        <f>123037.648</f>
        <v>123037.648</v>
      </c>
      <c r="CE119">
        <f>120116.074</f>
        <v>120116.07399999999</v>
      </c>
      <c r="CF119">
        <f>118424.506</f>
        <v>118424.50599999999</v>
      </c>
      <c r="CG119">
        <f>113897.248</f>
        <v>113897.24800000001</v>
      </c>
      <c r="CH119">
        <f>109001.821</f>
        <v>109001.821</v>
      </c>
      <c r="CI119">
        <f>108735.233</f>
        <v>108735.23299999999</v>
      </c>
      <c r="CJ119">
        <f>108247.199</f>
        <v>108247.19899999999</v>
      </c>
      <c r="CK119">
        <f>108203.287</f>
        <v>108203.287</v>
      </c>
      <c r="CL119">
        <f>108781.444</f>
        <v>108781.444</v>
      </c>
      <c r="CM119">
        <f>105652.344</f>
        <v>105652.344</v>
      </c>
      <c r="CN119">
        <f>105358.398</f>
        <v>105358.398</v>
      </c>
      <c r="CO119">
        <f>104246.668</f>
        <v>104246.66800000001</v>
      </c>
      <c r="CP119">
        <f>104184.505</f>
        <v>104184.505</v>
      </c>
      <c r="CQ119">
        <f>101988.125</f>
        <v>101988.125</v>
      </c>
      <c r="CR119">
        <f>101406.779</f>
        <v>101406.77899999999</v>
      </c>
      <c r="CS119">
        <f>100045.506</f>
        <v>100045.50599999999</v>
      </c>
      <c r="CT119">
        <f>99714.097</f>
        <v>99714.096999999994</v>
      </c>
      <c r="CU119">
        <f>100765.412</f>
        <v>100765.412</v>
      </c>
      <c r="CV119">
        <f>73954.016</f>
        <v>73954.016000000003</v>
      </c>
      <c r="CW119">
        <f>72644.967</f>
        <v>72644.967000000004</v>
      </c>
      <c r="CX119">
        <f>71044.551</f>
        <v>71044.551000000007</v>
      </c>
      <c r="CY119">
        <f>70210.178</f>
        <v>70210.178</v>
      </c>
      <c r="CZ119">
        <f>68845.648</f>
        <v>68845.648000000001</v>
      </c>
      <c r="DA119">
        <f>68002.661</f>
        <v>68002.660999999993</v>
      </c>
      <c r="DB119">
        <f>66298.01</f>
        <v>66298.009999999995</v>
      </c>
      <c r="DC119">
        <f>64330.629</f>
        <v>64330.629000000001</v>
      </c>
      <c r="DD119">
        <f>63797.113</f>
        <v>63797.112999999998</v>
      </c>
      <c r="DE119">
        <f>61145.753</f>
        <v>61145.752999999997</v>
      </c>
      <c r="DF119">
        <f>59476.344</f>
        <v>59476.343999999997</v>
      </c>
      <c r="DG119">
        <f>56648.251</f>
        <v>56648.250999999997</v>
      </c>
      <c r="DH119">
        <f>56113.687</f>
        <v>56113.686999999998</v>
      </c>
      <c r="DI119">
        <f>56054.966</f>
        <v>56054.966</v>
      </c>
      <c r="DJ119">
        <f>56153.185</f>
        <v>56153.184999999998</v>
      </c>
      <c r="DK119">
        <f>56443</f>
        <v>56443</v>
      </c>
      <c r="DL119">
        <f>56622.959</f>
        <v>56622.959000000003</v>
      </c>
      <c r="DM119">
        <f>55876.654</f>
        <v>55876.654000000002</v>
      </c>
      <c r="DN119">
        <f>54450.652</f>
        <v>54450.652000000002</v>
      </c>
      <c r="DO119">
        <f>54978.707</f>
        <v>54978.707000000002</v>
      </c>
      <c r="DP119">
        <f>53050.039</f>
        <v>53050.038999999997</v>
      </c>
      <c r="DQ119">
        <f>52948.51</f>
        <v>52948.51</v>
      </c>
      <c r="DR119">
        <f>53801.954</f>
        <v>53801.953999999998</v>
      </c>
      <c r="DS119">
        <f>53247.308</f>
        <v>53247.307999999997</v>
      </c>
      <c r="DT119">
        <f>51771.443</f>
        <v>51771.442999999999</v>
      </c>
      <c r="DU119" t="str">
        <f>""</f>
        <v/>
      </c>
    </row>
    <row r="120" spans="1:125" x14ac:dyDescent="0.25">
      <c r="A120" t="str">
        <f>"            JPMorgan Chase &amp; Co"</f>
        <v xml:space="preserve">            JPMorgan Chase &amp; Co</v>
      </c>
      <c r="B120" t="str">
        <f>"JPM US Equity"</f>
        <v>JPM US Equity</v>
      </c>
      <c r="C120" t="str">
        <f t="shared" si="16"/>
        <v>FC001</v>
      </c>
      <c r="D120" t="str">
        <f t="shared" si="17"/>
        <v>FDIC_TOTAL_ASSETS</v>
      </c>
      <c r="E120" t="str">
        <f t="shared" si="18"/>
        <v>Dynamic</v>
      </c>
      <c r="F120">
        <f ca="1">IF(AND(ISNUMBER($F$257),$B$145=1),$F$257,HLOOKUP(INDIRECT(ADDRESS(2,COLUMN())),OFFSET($BN$2,0,0,ROW()-1,60),ROW()-1,FALSE))</f>
        <v>4002814</v>
      </c>
      <c r="G120">
        <f ca="1">IF(AND(ISNUMBER($G$257),$B$145=1),$G$257,HLOOKUP(INDIRECT(ADDRESS(2,COLUMN())),OFFSET($BN$2,0,0,ROW()-1,60),ROW()-1,FALSE))</f>
        <v>4210048</v>
      </c>
      <c r="H120">
        <f ca="1">IF(AND(ISNUMBER($H$257),$B$145=1),$H$257,HLOOKUP(INDIRECT(ADDRESS(2,COLUMN())),OFFSET($BN$2,0,0,ROW()-1,60),ROW()-1,FALSE))</f>
        <v>4143003</v>
      </c>
      <c r="I120">
        <f ca="1">IF(AND(ISNUMBER($I$257),$B$145=1),$I$257,HLOOKUP(INDIRECT(ADDRESS(2,COLUMN())),OFFSET($BN$2,0,0,ROW()-1,60),ROW()-1,FALSE))</f>
        <v>4090727</v>
      </c>
      <c r="J120">
        <f ca="1">IF(AND(ISNUMBER($J$257),$B$145=1),$J$257,HLOOKUP(INDIRECT(ADDRESS(2,COLUMN())),OFFSET($BN$2,0,0,ROW()-1,60),ROW()-1,FALSE))</f>
        <v>3875393</v>
      </c>
      <c r="K120">
        <f ca="1">IF(AND(ISNUMBER($K$257),$B$145=1),$K$257,HLOOKUP(INDIRECT(ADDRESS(2,COLUMN())),OFFSET($BN$2,0,0,ROW()-1,60),ROW()-1,FALSE))</f>
        <v>3898333</v>
      </c>
      <c r="L120">
        <f ca="1">IF(AND(ISNUMBER($L$257),$B$145=1),$L$257,HLOOKUP(INDIRECT(ADDRESS(2,COLUMN())),OFFSET($BN$2,0,0,ROW()-1,60),ROW()-1,FALSE))</f>
        <v>3868240</v>
      </c>
      <c r="M120">
        <f ca="1">IF(AND(ISNUMBER($M$257),$B$145=1),$M$257,HLOOKUP(INDIRECT(ADDRESS(2,COLUMN())),OFFSET($BN$2,0,0,ROW()-1,60),ROW()-1,FALSE))</f>
        <v>3744305</v>
      </c>
      <c r="N120">
        <f ca="1">IF(AND(ISNUMBER($N$257),$B$145=1),$N$257,HLOOKUP(INDIRECT(ADDRESS(2,COLUMN())),OFFSET($BN$2,0,0,ROW()-1,60),ROW()-1,FALSE))</f>
        <v>3665743</v>
      </c>
      <c r="O120">
        <f ca="1">IF(AND(ISNUMBER($O$257),$B$145=1),$O$257,HLOOKUP(INDIRECT(ADDRESS(2,COLUMN())),OFFSET($BN$2,0,0,ROW()-1,60),ROW()-1,FALSE))</f>
        <v>3773884</v>
      </c>
      <c r="P120">
        <f ca="1">IF(AND(ISNUMBER($P$257),$B$145=1),$P$257,HLOOKUP(INDIRECT(ADDRESS(2,COLUMN())),OFFSET($BN$2,0,0,ROW()-1,60),ROW()-1,FALSE))</f>
        <v>3841314</v>
      </c>
      <c r="Q120">
        <f ca="1">IF(AND(ISNUMBER($Q$257),$B$145=1),$Q$257,HLOOKUP(INDIRECT(ADDRESS(2,COLUMN())),OFFSET($BN$2,0,0,ROW()-1,60),ROW()-1,FALSE))</f>
        <v>3954687</v>
      </c>
      <c r="R120">
        <f ca="1">IF(AND(ISNUMBER($R$257),$B$145=1),$R$257,HLOOKUP(INDIRECT(ADDRESS(2,COLUMN())),OFFSET($BN$2,0,0,ROW()-1,60),ROW()-1,FALSE))</f>
        <v>3743567</v>
      </c>
      <c r="S120">
        <f ca="1">IF(AND(ISNUMBER($S$257),$B$145=1),$S$257,HLOOKUP(INDIRECT(ADDRESS(2,COLUMN())),OFFSET($BN$2,0,0,ROW()-1,60),ROW()-1,FALSE))</f>
        <v>3757576</v>
      </c>
      <c r="T120">
        <f ca="1">IF(AND(ISNUMBER($T$257),$B$145=1),$T$257,HLOOKUP(INDIRECT(ADDRESS(2,COLUMN())),OFFSET($BN$2,0,0,ROW()-1,60),ROW()-1,FALSE))</f>
        <v>3684256</v>
      </c>
      <c r="U120">
        <f ca="1">IF(AND(ISNUMBER($U$257),$B$145=1),$U$257,HLOOKUP(INDIRECT(ADDRESS(2,COLUMN())),OFFSET($BN$2,0,0,ROW()-1,60),ROW()-1,FALSE))</f>
        <v>3689336</v>
      </c>
      <c r="V120">
        <f ca="1">IF(AND(ISNUMBER($V$257),$B$145=1),$V$257,HLOOKUP(INDIRECT(ADDRESS(2,COLUMN())),OFFSET($BN$2,0,0,ROW()-1,60),ROW()-1,FALSE))</f>
        <v>3386071</v>
      </c>
      <c r="W120">
        <f ca="1">IF(AND(ISNUMBER($W$257),$B$145=1),$W$257,HLOOKUP(INDIRECT(ADDRESS(2,COLUMN())),OFFSET($BN$2,0,0,ROW()-1,60),ROW()-1,FALSE))</f>
        <v>3246923</v>
      </c>
      <c r="X120">
        <f ca="1">IF(AND(ISNUMBER($X$257),$B$145=1),$X$257,HLOOKUP(INDIRECT(ADDRESS(2,COLUMN())),OFFSET($BN$2,0,0,ROW()-1,60),ROW()-1,FALSE))</f>
        <v>3214218</v>
      </c>
      <c r="Y120">
        <f ca="1">IF(AND(ISNUMBER($Y$257),$B$145=1),$Y$257,HLOOKUP(INDIRECT(ADDRESS(2,COLUMN())),OFFSET($BN$2,0,0,ROW()-1,60),ROW()-1,FALSE))</f>
        <v>3140887</v>
      </c>
      <c r="Z120">
        <f ca="1">IF(AND(ISNUMBER($Z$257),$B$145=1),$Z$257,HLOOKUP(INDIRECT(ADDRESS(2,COLUMN())),OFFSET($BN$2,0,0,ROW()-1,60),ROW()-1,FALSE))</f>
        <v>2687379</v>
      </c>
      <c r="AA120">
        <f ca="1">IF(AND(ISNUMBER($AA$257),$B$145=1),$AA$257,HLOOKUP(INDIRECT(ADDRESS(2,COLUMN())),OFFSET($BN$2,0,0,ROW()-1,60),ROW()-1,FALSE))</f>
        <v>2764661</v>
      </c>
      <c r="AB120">
        <f ca="1">IF(AND(ISNUMBER($AB$257),$B$145=1),$AB$257,HLOOKUP(INDIRECT(ADDRESS(2,COLUMN())),OFFSET($BN$2,0,0,ROW()-1,60),ROW()-1,FALSE))</f>
        <v>2727379</v>
      </c>
      <c r="AC120">
        <f ca="1">IF(AND(ISNUMBER($AC$257),$B$145=1),$AC$257,HLOOKUP(INDIRECT(ADDRESS(2,COLUMN())),OFFSET($BN$2,0,0,ROW()-1,60),ROW()-1,FALSE))</f>
        <v>2737188</v>
      </c>
      <c r="AD120">
        <f ca="1">IF(AND(ISNUMBER($AD$257),$B$145=1),$AD$257,HLOOKUP(INDIRECT(ADDRESS(2,COLUMN())),OFFSET($BN$2,0,0,ROW()-1,60),ROW()-1,FALSE))</f>
        <v>2622532</v>
      </c>
      <c r="AE120">
        <f ca="1">IF(AND(ISNUMBER($AE$257),$B$145=1),$AE$257,HLOOKUP(INDIRECT(ADDRESS(2,COLUMN())),OFFSET($BN$2,0,0,ROW()-1,60),ROW()-1,FALSE))</f>
        <v>2615183</v>
      </c>
      <c r="AF120">
        <f ca="1">IF(AND(ISNUMBER($AF$257),$B$145=1),$AF$257,HLOOKUP(INDIRECT(ADDRESS(2,COLUMN())),OFFSET($BN$2,0,0,ROW()-1,60),ROW()-1,FALSE))</f>
        <v>2590050</v>
      </c>
      <c r="AG120">
        <f ca="1">IF(AND(ISNUMBER($AG$257),$B$145=1),$AG$257,HLOOKUP(INDIRECT(ADDRESS(2,COLUMN())),OFFSET($BN$2,0,0,ROW()-1,60),ROW()-1,FALSE))</f>
        <v>2609785</v>
      </c>
      <c r="AH120">
        <f ca="1">IF(AND(ISNUMBER($AH$257),$B$145=1),$AH$257,HLOOKUP(INDIRECT(ADDRESS(2,COLUMN())),OFFSET($BN$2,0,0,ROW()-1,60),ROW()-1,FALSE))</f>
        <v>2533600</v>
      </c>
      <c r="AI120">
        <f ca="1">IF(AND(ISNUMBER($AI$257),$B$145=1),$AI$257,HLOOKUP(INDIRECT(ADDRESS(2,COLUMN())),OFFSET($BN$2,0,0,ROW()-1,60),ROW()-1,FALSE))</f>
        <v>2563074</v>
      </c>
      <c r="AJ120">
        <f ca="1">IF(AND(ISNUMBER($AJ$257),$B$145=1),$AJ$257,HLOOKUP(INDIRECT(ADDRESS(2,COLUMN())),OFFSET($BN$2,0,0,ROW()-1,60),ROW()-1,FALSE))</f>
        <v>2563174</v>
      </c>
      <c r="AK120">
        <f ca="1">IF(AND(ISNUMBER($AK$257),$B$145=1),$AK$257,HLOOKUP(INDIRECT(ADDRESS(2,COLUMN())),OFFSET($BN$2,0,0,ROW()-1,60),ROW()-1,FALSE))</f>
        <v>2546290</v>
      </c>
      <c r="AL120">
        <f ca="1">IF(AND(ISNUMBER($AL$257),$B$145=1),$AL$257,HLOOKUP(INDIRECT(ADDRESS(2,COLUMN())),OFFSET($BN$2,0,0,ROW()-1,60),ROW()-1,FALSE))</f>
        <v>2490972</v>
      </c>
      <c r="AM120">
        <f ca="1">IF(AND(ISNUMBER($AM$257),$B$145=1),$AM$257,HLOOKUP(INDIRECT(ADDRESS(2,COLUMN())),OFFSET($BN$2,0,0,ROW()-1,60),ROW()-1,FALSE))</f>
        <v>2521029</v>
      </c>
      <c r="AN120">
        <f ca="1">IF(AND(ISNUMBER($AN$257),$B$145=1),$AN$257,HLOOKUP(INDIRECT(ADDRESS(2,COLUMN())),OFFSET($BN$2,0,0,ROW()-1,60),ROW()-1,FALSE))</f>
        <v>2466096</v>
      </c>
      <c r="AO120">
        <f ca="1">IF(AND(ISNUMBER($AO$257),$B$145=1),$AO$257,HLOOKUP(INDIRECT(ADDRESS(2,COLUMN())),OFFSET($BN$2,0,0,ROW()-1,60),ROW()-1,FALSE))</f>
        <v>2423808</v>
      </c>
      <c r="AP120">
        <f ca="1">IF(AND(ISNUMBER($AP$257),$B$145=1),$AP$257,HLOOKUP(INDIRECT(ADDRESS(2,COLUMN())),OFFSET($BN$2,0,0,ROW()-1,60),ROW()-1,FALSE))</f>
        <v>2351698</v>
      </c>
      <c r="AQ120">
        <f ca="1">IF(AND(ISNUMBER($AQ$257),$B$145=1),$AQ$257,HLOOKUP(INDIRECT(ADDRESS(2,COLUMN())),OFFSET($BN$2,0,0,ROW()-1,60),ROW()-1,FALSE))</f>
        <v>2417121</v>
      </c>
      <c r="AR120">
        <f ca="1">IF(AND(ISNUMBER($AR$257),$B$145=1),$AR$257,HLOOKUP(INDIRECT(ADDRESS(2,COLUMN())),OFFSET($BN$2,0,0,ROW()-1,60),ROW()-1,FALSE))</f>
        <v>2447994</v>
      </c>
      <c r="AS120">
        <f ca="1">IF(AND(ISNUMBER($AS$257),$B$145=1),$AS$257,HLOOKUP(INDIRECT(ADDRESS(2,COLUMN())),OFFSET($BN$2,0,0,ROW()-1,60),ROW()-1,FALSE))</f>
        <v>2577148</v>
      </c>
      <c r="AT120">
        <f ca="1">IF(AND(ISNUMBER($AT$257),$B$145=1),$AT$257,HLOOKUP(INDIRECT(ADDRESS(2,COLUMN())),OFFSET($BN$2,0,0,ROW()-1,60),ROW()-1,FALSE))</f>
        <v>2572773</v>
      </c>
      <c r="AU120">
        <f ca="1">IF(AND(ISNUMBER($AU$257),$B$145=1),$AU$257,HLOOKUP(INDIRECT(ADDRESS(2,COLUMN())),OFFSET($BN$2,0,0,ROW()-1,60),ROW()-1,FALSE))</f>
        <v>2527005</v>
      </c>
      <c r="AV120">
        <f ca="1">IF(AND(ISNUMBER($AV$257),$B$145=1),$AV$257,HLOOKUP(INDIRECT(ADDRESS(2,COLUMN())),OFFSET($BN$2,0,0,ROW()-1,60),ROW()-1,FALSE))</f>
        <v>2520336</v>
      </c>
      <c r="AW120">
        <f ca="1">IF(AND(ISNUMBER($AW$257),$B$145=1),$AW$257,HLOOKUP(INDIRECT(ADDRESS(2,COLUMN())),OFFSET($BN$2,0,0,ROW()-1,60),ROW()-1,FALSE))</f>
        <v>2476986</v>
      </c>
      <c r="AX120">
        <f ca="1">IF(AND(ISNUMBER($AX$257),$B$145=1),$AX$257,HLOOKUP(INDIRECT(ADDRESS(2,COLUMN())),OFFSET($BN$2,0,0,ROW()-1,60),ROW()-1,FALSE))</f>
        <v>2415689</v>
      </c>
      <c r="AY120">
        <f ca="1">IF(AND(ISNUMBER($AY$257),$B$145=1),$AY$257,HLOOKUP(INDIRECT(ADDRESS(2,COLUMN())),OFFSET($BN$2,0,0,ROW()-1,60),ROW()-1,FALSE))</f>
        <v>2463309</v>
      </c>
      <c r="AZ120">
        <f ca="1">IF(AND(ISNUMBER($AZ$257),$B$145=1),$AZ$257,HLOOKUP(INDIRECT(ADDRESS(2,COLUMN())),OFFSET($BN$2,0,0,ROW()-1,60),ROW()-1,FALSE))</f>
        <v>2439494</v>
      </c>
      <c r="BA120">
        <f ca="1">IF(AND(ISNUMBER($BA$257),$B$145=1),$BA$257,HLOOKUP(INDIRECT(ADDRESS(2,COLUMN())),OFFSET($BN$2,0,0,ROW()-1,60),ROW()-1,FALSE))</f>
        <v>2389349</v>
      </c>
      <c r="BB120">
        <f ca="1">IF(AND(ISNUMBER($BB$257),$B$145=1),$BB$257,HLOOKUP(INDIRECT(ADDRESS(2,COLUMN())),OFFSET($BN$2,0,0,ROW()-1,60),ROW()-1,FALSE))</f>
        <v>2359141</v>
      </c>
      <c r="BC120">
        <f ca="1">IF(AND(ISNUMBER($BC$257),$B$145=1),$BC$257,HLOOKUP(INDIRECT(ADDRESS(2,COLUMN())),OFFSET($BN$2,0,0,ROW()-1,60),ROW()-1,FALSE))</f>
        <v>2321284</v>
      </c>
      <c r="BD120">
        <f ca="1">IF(AND(ISNUMBER($BD$257),$B$145=1),$BD$257,HLOOKUP(INDIRECT(ADDRESS(2,COLUMN())),OFFSET($BN$2,0,0,ROW()-1,60),ROW()-1,FALSE))</f>
        <v>2290146</v>
      </c>
      <c r="BE120">
        <f ca="1">IF(AND(ISNUMBER($BE$257),$B$145=1),$BE$257,HLOOKUP(INDIRECT(ADDRESS(2,COLUMN())),OFFSET($BN$2,0,0,ROW()-1,60),ROW()-1,FALSE))</f>
        <v>2320164</v>
      </c>
      <c r="BF120">
        <f ca="1">IF(AND(ISNUMBER($BF$257),$B$145=1),$BF$257,HLOOKUP(INDIRECT(ADDRESS(2,COLUMN())),OFFSET($BN$2,0,0,ROW()-1,60),ROW()-1,FALSE))</f>
        <v>2265792</v>
      </c>
      <c r="BG120">
        <f ca="1">IF(AND(ISNUMBER($BG$257),$B$145=1),$BG$257,HLOOKUP(INDIRECT(ADDRESS(2,COLUMN())),OFFSET($BN$2,0,0,ROW()-1,60),ROW()-1,FALSE))</f>
        <v>2289240</v>
      </c>
      <c r="BH120">
        <f ca="1">IF(AND(ISNUMBER($BH$257),$B$145=1),$BH$257,HLOOKUP(INDIRECT(ADDRESS(2,COLUMN())),OFFSET($BN$2,0,0,ROW()-1,60),ROW()-1,FALSE))</f>
        <v>2246764</v>
      </c>
      <c r="BI120">
        <f ca="1">IF(AND(ISNUMBER($BI$257),$B$145=1),$BI$257,HLOOKUP(INDIRECT(ADDRESS(2,COLUMN())),OFFSET($BN$2,0,0,ROW()-1,60),ROW()-1,FALSE))</f>
        <v>2198161</v>
      </c>
      <c r="BJ120">
        <f ca="1">IF(AND(ISNUMBER($BJ$257),$B$145=1),$BJ$257,HLOOKUP(INDIRECT(ADDRESS(2,COLUMN())),OFFSET($BN$2,0,0,ROW()-1,60),ROW()-1,FALSE))</f>
        <v>2117605</v>
      </c>
      <c r="BK120">
        <f ca="1">IF(AND(ISNUMBER($BK$257),$B$145=1),$BK$257,HLOOKUP(INDIRECT(ADDRESS(2,COLUMN())),OFFSET($BN$2,0,0,ROW()-1,60),ROW()-1,FALSE))</f>
        <v>2141595</v>
      </c>
      <c r="BL120">
        <f ca="1">IF(AND(ISNUMBER($BL$257),$B$145=1),$BL$257,HLOOKUP(INDIRECT(ADDRESS(2,COLUMN())),OFFSET($BN$2,0,0,ROW()-1,60),ROW()-1,FALSE))</f>
        <v>2014019</v>
      </c>
      <c r="BM120" t="str">
        <f ca="1">IF(AND(ISNUMBER($BM$257),$B$145=1),$BM$257,HLOOKUP(INDIRECT(ADDRESS(2,COLUMN())),OFFSET($BN$2,0,0,ROW()-1,60),ROW()-1,FALSE))</f>
        <v/>
      </c>
      <c r="BN120">
        <f>4002814</f>
        <v>4002814</v>
      </c>
      <c r="BO120">
        <f>4210048</f>
        <v>4210048</v>
      </c>
      <c r="BP120">
        <f>4143003</f>
        <v>4143003</v>
      </c>
      <c r="BQ120">
        <f>4090727</f>
        <v>4090727</v>
      </c>
      <c r="BR120">
        <f>3875393</f>
        <v>3875393</v>
      </c>
      <c r="BS120">
        <f>3898333</f>
        <v>3898333</v>
      </c>
      <c r="BT120">
        <f>3868240</f>
        <v>3868240</v>
      </c>
      <c r="BU120">
        <f>3744305</f>
        <v>3744305</v>
      </c>
      <c r="BV120">
        <f>3665743</f>
        <v>3665743</v>
      </c>
      <c r="BW120">
        <f>3773884</f>
        <v>3773884</v>
      </c>
      <c r="BX120">
        <f>3841314</f>
        <v>3841314</v>
      </c>
      <c r="BY120">
        <f>3954687</f>
        <v>3954687</v>
      </c>
      <c r="BZ120">
        <f>3743567</f>
        <v>3743567</v>
      </c>
      <c r="CA120">
        <f>3757576</f>
        <v>3757576</v>
      </c>
      <c r="CB120">
        <f>3684256</f>
        <v>3684256</v>
      </c>
      <c r="CC120">
        <f>3689336</f>
        <v>3689336</v>
      </c>
      <c r="CD120">
        <f>3386071</f>
        <v>3386071</v>
      </c>
      <c r="CE120">
        <f>3246923</f>
        <v>3246923</v>
      </c>
      <c r="CF120">
        <f>3214218</f>
        <v>3214218</v>
      </c>
      <c r="CG120">
        <f>3140887</f>
        <v>3140887</v>
      </c>
      <c r="CH120">
        <f>2687379</f>
        <v>2687379</v>
      </c>
      <c r="CI120">
        <f>2764661</f>
        <v>2764661</v>
      </c>
      <c r="CJ120">
        <f>2727379</f>
        <v>2727379</v>
      </c>
      <c r="CK120">
        <f>2737188</f>
        <v>2737188</v>
      </c>
      <c r="CL120">
        <f>2622532</f>
        <v>2622532</v>
      </c>
      <c r="CM120">
        <f>2615183</f>
        <v>2615183</v>
      </c>
      <c r="CN120">
        <f>2590050</f>
        <v>2590050</v>
      </c>
      <c r="CO120">
        <f>2609785</f>
        <v>2609785</v>
      </c>
      <c r="CP120">
        <f>2533600</f>
        <v>2533600</v>
      </c>
      <c r="CQ120">
        <f>2563074</f>
        <v>2563074</v>
      </c>
      <c r="CR120">
        <f>2563174</f>
        <v>2563174</v>
      </c>
      <c r="CS120">
        <f>2546290</f>
        <v>2546290</v>
      </c>
      <c r="CT120">
        <f>2490972</f>
        <v>2490972</v>
      </c>
      <c r="CU120">
        <f>2521029</f>
        <v>2521029</v>
      </c>
      <c r="CV120">
        <f>2466096</f>
        <v>2466096</v>
      </c>
      <c r="CW120">
        <f>2423808</f>
        <v>2423808</v>
      </c>
      <c r="CX120">
        <f>2351698</f>
        <v>2351698</v>
      </c>
      <c r="CY120">
        <f>2417121</f>
        <v>2417121</v>
      </c>
      <c r="CZ120">
        <f>2447994</f>
        <v>2447994</v>
      </c>
      <c r="DA120">
        <f>2577148</f>
        <v>2577148</v>
      </c>
      <c r="DB120">
        <f>2572773</f>
        <v>2572773</v>
      </c>
      <c r="DC120">
        <f>2527005</f>
        <v>2527005</v>
      </c>
      <c r="DD120">
        <f>2520336</f>
        <v>2520336</v>
      </c>
      <c r="DE120">
        <f>2476986</f>
        <v>2476986</v>
      </c>
      <c r="DF120">
        <f>2415689</f>
        <v>2415689</v>
      </c>
      <c r="DG120">
        <f>2463309</f>
        <v>2463309</v>
      </c>
      <c r="DH120">
        <f>2439494</f>
        <v>2439494</v>
      </c>
      <c r="DI120">
        <f>2389349</f>
        <v>2389349</v>
      </c>
      <c r="DJ120">
        <f>2359141</f>
        <v>2359141</v>
      </c>
      <c r="DK120">
        <f>2321284</f>
        <v>2321284</v>
      </c>
      <c r="DL120">
        <f>2290146</f>
        <v>2290146</v>
      </c>
      <c r="DM120">
        <f>2320164</f>
        <v>2320164</v>
      </c>
      <c r="DN120">
        <f>2265792</f>
        <v>2265792</v>
      </c>
      <c r="DO120">
        <f>2289240</f>
        <v>2289240</v>
      </c>
      <c r="DP120">
        <f>2246764</f>
        <v>2246764</v>
      </c>
      <c r="DQ120">
        <f>2198161</f>
        <v>2198161</v>
      </c>
      <c r="DR120">
        <f>2117605</f>
        <v>2117605</v>
      </c>
      <c r="DS120">
        <f>2141595</f>
        <v>2141595</v>
      </c>
      <c r="DT120">
        <f>2014019</f>
        <v>2014019</v>
      </c>
      <c r="DU120" t="str">
        <f>""</f>
        <v/>
      </c>
    </row>
    <row r="121" spans="1:125" x14ac:dyDescent="0.25">
      <c r="A121" t="str">
        <f>"            KeyCorp"</f>
        <v xml:space="preserve">            KeyCorp</v>
      </c>
      <c r="B121" t="str">
        <f>"KEY US Equity"</f>
        <v>KEY US Equity</v>
      </c>
      <c r="C121" t="str">
        <f t="shared" si="16"/>
        <v>FC001</v>
      </c>
      <c r="D121" t="str">
        <f t="shared" si="17"/>
        <v>FDIC_TOTAL_ASSETS</v>
      </c>
      <c r="E121" t="str">
        <f t="shared" si="18"/>
        <v>Dynamic</v>
      </c>
      <c r="F121">
        <f ca="1">IF(AND(ISNUMBER($F$258),$B$145=1),$F$258,HLOOKUP(INDIRECT(ADDRESS(2,COLUMN())),OFFSET($BN$2,0,0,ROW()-1,60),ROW()-1,FALSE))</f>
        <v>187184.01</v>
      </c>
      <c r="G121">
        <f ca="1">IF(AND(ISNUMBER($G$258),$B$145=1),$G$258,HLOOKUP(INDIRECT(ADDRESS(2,COLUMN())),OFFSET($BN$2,0,0,ROW()-1,60),ROW()-1,FALSE))</f>
        <v>189766.10699999999</v>
      </c>
      <c r="H121">
        <f ca="1">IF(AND(ISNUMBER($H$258),$B$145=1),$H$258,HLOOKUP(INDIRECT(ADDRESS(2,COLUMN())),OFFSET($BN$2,0,0,ROW()-1,60),ROW()-1,FALSE))</f>
        <v>187474.66200000001</v>
      </c>
      <c r="I121">
        <f ca="1">IF(AND(ISNUMBER($I$258),$B$145=1),$I$258,HLOOKUP(INDIRECT(ADDRESS(2,COLUMN())),OFFSET($BN$2,0,0,ROW()-1,60),ROW()-1,FALSE))</f>
        <v>187530.70499999999</v>
      </c>
      <c r="J121">
        <f ca="1">IF(AND(ISNUMBER($J$258),$B$145=1),$J$258,HLOOKUP(INDIRECT(ADDRESS(2,COLUMN())),OFFSET($BN$2,0,0,ROW()-1,60),ROW()-1,FALSE))</f>
        <v>188368.90400000001</v>
      </c>
      <c r="K121">
        <f ca="1">IF(AND(ISNUMBER($K$258),$B$145=1),$K$258,HLOOKUP(INDIRECT(ADDRESS(2,COLUMN())),OFFSET($BN$2,0,0,ROW()-1,60),ROW()-1,FALSE))</f>
        <v>187994.715</v>
      </c>
      <c r="L121">
        <f ca="1">IF(AND(ISNUMBER($L$258),$B$145=1),$L$258,HLOOKUP(INDIRECT(ADDRESS(2,COLUMN())),OFFSET($BN$2,0,0,ROW()-1,60),ROW()-1,FALSE))</f>
        <v>195213.56299999999</v>
      </c>
      <c r="M121">
        <f ca="1">IF(AND(ISNUMBER($M$258),$B$145=1),$M$258,HLOOKUP(INDIRECT(ADDRESS(2,COLUMN())),OFFSET($BN$2,0,0,ROW()-1,60),ROW()-1,FALSE))</f>
        <v>197621.76300000001</v>
      </c>
      <c r="N121">
        <f ca="1">IF(AND(ISNUMBER($N$258),$B$145=1),$N$258,HLOOKUP(INDIRECT(ADDRESS(2,COLUMN())),OFFSET($BN$2,0,0,ROW()-1,60),ROW()-1,FALSE))</f>
        <v>189915.51500000001</v>
      </c>
      <c r="O121">
        <f ca="1">IF(AND(ISNUMBER($O$258),$B$145=1),$O$258,HLOOKUP(INDIRECT(ADDRESS(2,COLUMN())),OFFSET($BN$2,0,0,ROW()-1,60),ROW()-1,FALSE))</f>
        <v>190232.45</v>
      </c>
      <c r="P121">
        <f ca="1">IF(AND(ISNUMBER($P$258),$B$145=1),$P$258,HLOOKUP(INDIRECT(ADDRESS(2,COLUMN())),OFFSET($BN$2,0,0,ROW()-1,60),ROW()-1,FALSE))</f>
        <v>187227.649</v>
      </c>
      <c r="Q121">
        <f ca="1">IF(AND(ISNUMBER($Q$258),$B$145=1),$Q$258,HLOOKUP(INDIRECT(ADDRESS(2,COLUMN())),OFFSET($BN$2,0,0,ROW()-1,60),ROW()-1,FALSE))</f>
        <v>181472.726</v>
      </c>
      <c r="R121">
        <f ca="1">IF(AND(ISNUMBER($R$258),$B$145=1),$R$258,HLOOKUP(INDIRECT(ADDRESS(2,COLUMN())),OFFSET($BN$2,0,0,ROW()-1,60),ROW()-1,FALSE))</f>
        <v>186455.921</v>
      </c>
      <c r="S121">
        <f ca="1">IF(AND(ISNUMBER($S$258),$B$145=1),$S$258,HLOOKUP(INDIRECT(ADDRESS(2,COLUMN())),OFFSET($BN$2,0,0,ROW()-1,60),ROW()-1,FALSE))</f>
        <v>187198.23699999999</v>
      </c>
      <c r="T121">
        <f ca="1">IF(AND(ISNUMBER($T$258),$B$145=1),$T$258,HLOOKUP(INDIRECT(ADDRESS(2,COLUMN())),OFFSET($BN$2,0,0,ROW()-1,60),ROW()-1,FALSE))</f>
        <v>181526.85200000001</v>
      </c>
      <c r="U121">
        <f ca="1">IF(AND(ISNUMBER($U$258),$B$145=1),$U$258,HLOOKUP(INDIRECT(ADDRESS(2,COLUMN())),OFFSET($BN$2,0,0,ROW()-1,60),ROW()-1,FALSE))</f>
        <v>176336.182</v>
      </c>
      <c r="V121">
        <f ca="1">IF(AND(ISNUMBER($V$258),$B$145=1),$V$258,HLOOKUP(INDIRECT(ADDRESS(2,COLUMN())),OFFSET($BN$2,0,0,ROW()-1,60),ROW()-1,FALSE))</f>
        <v>171371.23</v>
      </c>
      <c r="W121">
        <f ca="1">IF(AND(ISNUMBER($W$258),$B$145=1),$W$258,HLOOKUP(INDIRECT(ADDRESS(2,COLUMN())),OFFSET($BN$2,0,0,ROW()-1,60),ROW()-1,FALSE))</f>
        <v>171342.43400000001</v>
      </c>
      <c r="X121">
        <f ca="1">IF(AND(ISNUMBER($X$258),$B$145=1),$X$258,HLOOKUP(INDIRECT(ADDRESS(2,COLUMN())),OFFSET($BN$2,0,0,ROW()-1,60),ROW()-1,FALSE))</f>
        <v>172038.74799999999</v>
      </c>
      <c r="Y121">
        <f ca="1">IF(AND(ISNUMBER($Y$258),$B$145=1),$Y$258,HLOOKUP(INDIRECT(ADDRESS(2,COLUMN())),OFFSET($BN$2,0,0,ROW()-1,60),ROW()-1,FALSE))</f>
        <v>157003.46599999999</v>
      </c>
      <c r="Z121">
        <f ca="1">IF(AND(ISNUMBER($Z$258),$B$145=1),$Z$258,HLOOKUP(INDIRECT(ADDRESS(2,COLUMN())),OFFSET($BN$2,0,0,ROW()-1,60),ROW()-1,FALSE))</f>
        <v>145569.63200000001</v>
      </c>
      <c r="AA121">
        <f ca="1">IF(AND(ISNUMBER($AA$258),$B$145=1),$AA$258,HLOOKUP(INDIRECT(ADDRESS(2,COLUMN())),OFFSET($BN$2,0,0,ROW()-1,60),ROW()-1,FALSE))</f>
        <v>147321.05900000001</v>
      </c>
      <c r="AB121">
        <f ca="1">IF(AND(ISNUMBER($AB$258),$B$145=1),$AB$258,HLOOKUP(INDIRECT(ADDRESS(2,COLUMN())),OFFSET($BN$2,0,0,ROW()-1,60),ROW()-1,FALSE))</f>
        <v>145121.356</v>
      </c>
      <c r="AC121">
        <f ca="1">IF(AND(ISNUMBER($AC$258),$B$145=1),$AC$258,HLOOKUP(INDIRECT(ADDRESS(2,COLUMN())),OFFSET($BN$2,0,0,ROW()-1,60),ROW()-1,FALSE))</f>
        <v>141953.655</v>
      </c>
      <c r="AD121">
        <f ca="1">IF(AND(ISNUMBER($AD$258),$B$145=1),$AD$258,HLOOKUP(INDIRECT(ADDRESS(2,COLUMN())),OFFSET($BN$2,0,0,ROW()-1,60),ROW()-1,FALSE))</f>
        <v>140037.79</v>
      </c>
      <c r="AE121">
        <f ca="1">IF(AND(ISNUMBER($AE$258),$B$145=1),$AE$258,HLOOKUP(INDIRECT(ADDRESS(2,COLUMN())),OFFSET($BN$2,0,0,ROW()-1,60),ROW()-1,FALSE))</f>
        <v>139184.992</v>
      </c>
      <c r="AF121">
        <f ca="1">IF(AND(ISNUMBER($AF$258),$B$145=1),$AF$258,HLOOKUP(INDIRECT(ADDRESS(2,COLUMN())),OFFSET($BN$2,0,0,ROW()-1,60),ROW()-1,FALSE))</f>
        <v>138164.802</v>
      </c>
      <c r="AG121">
        <f ca="1">IF(AND(ISNUMBER($AG$258),$B$145=1),$AG$258,HLOOKUP(INDIRECT(ADDRESS(2,COLUMN())),OFFSET($BN$2,0,0,ROW()-1,60),ROW()-1,FALSE))</f>
        <v>137485.73199999999</v>
      </c>
      <c r="AH121">
        <f ca="1">IF(AND(ISNUMBER($AH$258),$B$145=1),$AH$258,HLOOKUP(INDIRECT(ADDRESS(2,COLUMN())),OFFSET($BN$2,0,0,ROW()-1,60),ROW()-1,FALSE))</f>
        <v>138064.05499999999</v>
      </c>
      <c r="AI121">
        <f ca="1">IF(AND(ISNUMBER($AI$258),$B$145=1),$AI$258,HLOOKUP(INDIRECT(ADDRESS(2,COLUMN())),OFFSET($BN$2,0,0,ROW()-1,60),ROW()-1,FALSE))</f>
        <v>137129.91200000001</v>
      </c>
      <c r="AJ121">
        <f ca="1">IF(AND(ISNUMBER($AJ$258),$B$145=1),$AJ$258,HLOOKUP(INDIRECT(ADDRESS(2,COLUMN())),OFFSET($BN$2,0,0,ROW()-1,60),ROW()-1,FALSE))</f>
        <v>136362.22399999999</v>
      </c>
      <c r="AK121">
        <f ca="1">IF(AND(ISNUMBER($AK$258),$B$145=1),$AK$258,HLOOKUP(INDIRECT(ADDRESS(2,COLUMN())),OFFSET($BN$2,0,0,ROW()-1,60),ROW()-1,FALSE))</f>
        <v>134972.587</v>
      </c>
      <c r="AL121">
        <f ca="1">IF(AND(ISNUMBER($AL$258),$B$145=1),$AL$258,HLOOKUP(INDIRECT(ADDRESS(2,COLUMN())),OFFSET($BN$2,0,0,ROW()-1,60),ROW()-1,FALSE))</f>
        <v>136825.848</v>
      </c>
      <c r="AM121">
        <f ca="1">IF(AND(ISNUMBER($AM$258),$B$145=1),$AM$258,HLOOKUP(INDIRECT(ADDRESS(2,COLUMN())),OFFSET($BN$2,0,0,ROW()-1,60),ROW()-1,FALSE))</f>
        <v>136228.389</v>
      </c>
      <c r="AN121">
        <f ca="1">IF(AND(ISNUMBER($AN$258),$B$145=1),$AN$258,HLOOKUP(INDIRECT(ADDRESS(2,COLUMN())),OFFSET($BN$2,0,0,ROW()-1,60),ROW()-1,FALSE))</f>
        <v>101406.977</v>
      </c>
      <c r="AO121">
        <f ca="1">IF(AND(ISNUMBER($AO$258),$B$145=1),$AO$258,HLOOKUP(INDIRECT(ADDRESS(2,COLUMN())),OFFSET($BN$2,0,0,ROW()-1,60),ROW()-1,FALSE))</f>
        <v>98570.702000000005</v>
      </c>
      <c r="AP121">
        <f ca="1">IF(AND(ISNUMBER($AP$258),$B$145=1),$AP$258,HLOOKUP(INDIRECT(ADDRESS(2,COLUMN())),OFFSET($BN$2,0,0,ROW()-1,60),ROW()-1,FALSE))</f>
        <v>95270.648000000001</v>
      </c>
      <c r="AQ121">
        <f ca="1">IF(AND(ISNUMBER($AQ$258),$B$145=1),$AQ$258,HLOOKUP(INDIRECT(ADDRESS(2,COLUMN())),OFFSET($BN$2,0,0,ROW()-1,60),ROW()-1,FALSE))</f>
        <v>95476.858999999997</v>
      </c>
      <c r="AR121">
        <f ca="1">IF(AND(ISNUMBER($AR$258),$B$145=1),$AR$258,HLOOKUP(INDIRECT(ADDRESS(2,COLUMN())),OFFSET($BN$2,0,0,ROW()-1,60),ROW()-1,FALSE))</f>
        <v>94674.55</v>
      </c>
      <c r="AS121">
        <f ca="1">IF(AND(ISNUMBER($AS$258),$B$145=1),$AS$258,HLOOKUP(INDIRECT(ADDRESS(2,COLUMN())),OFFSET($BN$2,0,0,ROW()-1,60),ROW()-1,FALSE))</f>
        <v>94296.497000000003</v>
      </c>
      <c r="AT121">
        <f ca="1">IF(AND(ISNUMBER($AT$258),$B$145=1),$AT$258,HLOOKUP(INDIRECT(ADDRESS(2,COLUMN())),OFFSET($BN$2,0,0,ROW()-1,60),ROW()-1,FALSE))</f>
        <v>93882.115000000005</v>
      </c>
      <c r="AU121">
        <f ca="1">IF(AND(ISNUMBER($AU$258),$B$145=1),$AU$258,HLOOKUP(INDIRECT(ADDRESS(2,COLUMN())),OFFSET($BN$2,0,0,ROW()-1,60),ROW()-1,FALSE))</f>
        <v>89884.476999999999</v>
      </c>
      <c r="AV121">
        <f ca="1">IF(AND(ISNUMBER($AV$258),$B$145=1),$AV$258,HLOOKUP(INDIRECT(ADDRESS(2,COLUMN())),OFFSET($BN$2,0,0,ROW()-1,60),ROW()-1,FALSE))</f>
        <v>91934.784</v>
      </c>
      <c r="AW121">
        <f ca="1">IF(AND(ISNUMBER($AW$258),$B$145=1),$AW$258,HLOOKUP(INDIRECT(ADDRESS(2,COLUMN())),OFFSET($BN$2,0,0,ROW()-1,60),ROW()-1,FALSE))</f>
        <v>90928.217999999993</v>
      </c>
      <c r="AX121">
        <f ca="1">IF(AND(ISNUMBER($AX$258),$B$145=1),$AX$258,HLOOKUP(INDIRECT(ADDRESS(2,COLUMN())),OFFSET($BN$2,0,0,ROW()-1,60),ROW()-1,FALSE))</f>
        <v>92991.716</v>
      </c>
      <c r="AY121">
        <f ca="1">IF(AND(ISNUMBER($AY$258),$B$145=1),$AY$258,HLOOKUP(INDIRECT(ADDRESS(2,COLUMN())),OFFSET($BN$2,0,0,ROW()-1,60),ROW()-1,FALSE))</f>
        <v>91016.413</v>
      </c>
      <c r="AZ121">
        <f ca="1">IF(AND(ISNUMBER($AZ$258),$B$145=1),$AZ$258,HLOOKUP(INDIRECT(ADDRESS(2,COLUMN())),OFFSET($BN$2,0,0,ROW()-1,60),ROW()-1,FALSE))</f>
        <v>90858.778999999995</v>
      </c>
      <c r="BA121">
        <f ca="1">IF(AND(ISNUMBER($BA$258),$B$145=1),$BA$258,HLOOKUP(INDIRECT(ADDRESS(2,COLUMN())),OFFSET($BN$2,0,0,ROW()-1,60),ROW()-1,FALSE))</f>
        <v>89441.21</v>
      </c>
      <c r="BB121">
        <f ca="1">IF(AND(ISNUMBER($BB$258),$B$145=1),$BB$258,HLOOKUP(INDIRECT(ADDRESS(2,COLUMN())),OFFSET($BN$2,0,0,ROW()-1,60),ROW()-1,FALSE))</f>
        <v>89425.612999999998</v>
      </c>
      <c r="BC121">
        <f ca="1">IF(AND(ISNUMBER($BC$258),$B$145=1),$BC$258,HLOOKUP(INDIRECT(ADDRESS(2,COLUMN())),OFFSET($BN$2,0,0,ROW()-1,60),ROW()-1,FALSE))</f>
        <v>87302.271999999997</v>
      </c>
      <c r="BD121">
        <f ca="1">IF(AND(ISNUMBER($BD$258),$B$145=1),$BD$258,HLOOKUP(INDIRECT(ADDRESS(2,COLUMN())),OFFSET($BN$2,0,0,ROW()-1,60),ROW()-1,FALSE))</f>
        <v>86741.423999999999</v>
      </c>
      <c r="BE121">
        <f ca="1">IF(AND(ISNUMBER($BE$258),$B$145=1),$BE$258,HLOOKUP(INDIRECT(ADDRESS(2,COLUMN())),OFFSET($BN$2,0,0,ROW()-1,60),ROW()-1,FALSE))</f>
        <v>87569.856</v>
      </c>
      <c r="BF121">
        <f ca="1">IF(AND(ISNUMBER($BF$258),$B$145=1),$BF$258,HLOOKUP(INDIRECT(ADDRESS(2,COLUMN())),OFFSET($BN$2,0,0,ROW()-1,60),ROW()-1,FALSE))</f>
        <v>88762.570999999996</v>
      </c>
      <c r="BG121">
        <f ca="1">IF(AND(ISNUMBER($BG$258),$B$145=1),$BG$258,HLOOKUP(INDIRECT(ADDRESS(2,COLUMN())),OFFSET($BN$2,0,0,ROW()-1,60),ROW()-1,FALSE))</f>
        <v>89405.604999999996</v>
      </c>
      <c r="BH121">
        <f ca="1">IF(AND(ISNUMBER($BH$258),$B$145=1),$BH$258,HLOOKUP(INDIRECT(ADDRESS(2,COLUMN())),OFFSET($BN$2,0,0,ROW()-1,60),ROW()-1,FALSE))</f>
        <v>88858.6</v>
      </c>
      <c r="BI121">
        <f ca="1">IF(AND(ISNUMBER($BI$258),$B$145=1),$BI$258,HLOOKUP(INDIRECT(ADDRESS(2,COLUMN())),OFFSET($BN$2,0,0,ROW()-1,60),ROW()-1,FALSE))</f>
        <v>90311.402000000002</v>
      </c>
      <c r="BJ121">
        <f ca="1">IF(AND(ISNUMBER($BJ$258),$B$145=1),$BJ$258,HLOOKUP(INDIRECT(ADDRESS(2,COLUMN())),OFFSET($BN$2,0,0,ROW()-1,60),ROW()-1,FALSE))</f>
        <v>91718.216</v>
      </c>
      <c r="BK121">
        <f ca="1">IF(AND(ISNUMBER($BK$258),$B$145=1),$BK$258,HLOOKUP(INDIRECT(ADDRESS(2,COLUMN())),OFFSET($BN$2,0,0,ROW()-1,60),ROW()-1,FALSE))</f>
        <v>94073.953999999998</v>
      </c>
      <c r="BL121">
        <f ca="1">IF(AND(ISNUMBER($BL$258),$B$145=1),$BL$258,HLOOKUP(INDIRECT(ADDRESS(2,COLUMN())),OFFSET($BN$2,0,0,ROW()-1,60),ROW()-1,FALSE))</f>
        <v>94286.770999999993</v>
      </c>
      <c r="BM121" t="str">
        <f ca="1">IF(AND(ISNUMBER($BM$258),$B$145=1),$BM$258,HLOOKUP(INDIRECT(ADDRESS(2,COLUMN())),OFFSET($BN$2,0,0,ROW()-1,60),ROW()-1,FALSE))</f>
        <v/>
      </c>
      <c r="BN121">
        <f>187184.01</f>
        <v>187184.01</v>
      </c>
      <c r="BO121">
        <f>189766.107</f>
        <v>189766.10699999999</v>
      </c>
      <c r="BP121">
        <f>187474.662</f>
        <v>187474.66200000001</v>
      </c>
      <c r="BQ121">
        <f>187530.705</f>
        <v>187530.70499999999</v>
      </c>
      <c r="BR121">
        <f>188368.904</f>
        <v>188368.90400000001</v>
      </c>
      <c r="BS121">
        <f>187994.715</f>
        <v>187994.715</v>
      </c>
      <c r="BT121">
        <f>195213.563</f>
        <v>195213.56299999999</v>
      </c>
      <c r="BU121">
        <f>197621.763</f>
        <v>197621.76300000001</v>
      </c>
      <c r="BV121">
        <f>189915.515</f>
        <v>189915.51500000001</v>
      </c>
      <c r="BW121">
        <f>190232.45</f>
        <v>190232.45</v>
      </c>
      <c r="BX121">
        <f>187227.649</f>
        <v>187227.649</v>
      </c>
      <c r="BY121">
        <f>181472.726</f>
        <v>181472.726</v>
      </c>
      <c r="BZ121">
        <f>186455.921</f>
        <v>186455.921</v>
      </c>
      <c r="CA121">
        <f>187198.237</f>
        <v>187198.23699999999</v>
      </c>
      <c r="CB121">
        <f>181526.852</f>
        <v>181526.85200000001</v>
      </c>
      <c r="CC121">
        <f>176336.182</f>
        <v>176336.182</v>
      </c>
      <c r="CD121">
        <f>171371.23</f>
        <v>171371.23</v>
      </c>
      <c r="CE121">
        <f>171342.434</f>
        <v>171342.43400000001</v>
      </c>
      <c r="CF121">
        <f>172038.748</f>
        <v>172038.74799999999</v>
      </c>
      <c r="CG121">
        <f>157003.466</f>
        <v>157003.46599999999</v>
      </c>
      <c r="CH121">
        <f>145569.632</f>
        <v>145569.63200000001</v>
      </c>
      <c r="CI121">
        <f>147321.059</f>
        <v>147321.05900000001</v>
      </c>
      <c r="CJ121">
        <f>145121.356</f>
        <v>145121.356</v>
      </c>
      <c r="CK121">
        <f>141953.655</f>
        <v>141953.655</v>
      </c>
      <c r="CL121">
        <f>140037.79</f>
        <v>140037.79</v>
      </c>
      <c r="CM121">
        <f>139184.992</f>
        <v>139184.992</v>
      </c>
      <c r="CN121">
        <f>138164.802</f>
        <v>138164.802</v>
      </c>
      <c r="CO121">
        <f>137485.732</f>
        <v>137485.73199999999</v>
      </c>
      <c r="CP121">
        <f>138064.055</f>
        <v>138064.05499999999</v>
      </c>
      <c r="CQ121">
        <f>137129.912</f>
        <v>137129.91200000001</v>
      </c>
      <c r="CR121">
        <f>136362.224</f>
        <v>136362.22399999999</v>
      </c>
      <c r="CS121">
        <f>134972.587</f>
        <v>134972.587</v>
      </c>
      <c r="CT121">
        <f>136825.848</f>
        <v>136825.848</v>
      </c>
      <c r="CU121">
        <f>136228.389</f>
        <v>136228.389</v>
      </c>
      <c r="CV121">
        <f>101406.977</f>
        <v>101406.977</v>
      </c>
      <c r="CW121">
        <f>98570.702</f>
        <v>98570.702000000005</v>
      </c>
      <c r="CX121">
        <f>95270.648</f>
        <v>95270.648000000001</v>
      </c>
      <c r="CY121">
        <f>95476.859</f>
        <v>95476.858999999997</v>
      </c>
      <c r="CZ121">
        <f>94674.55</f>
        <v>94674.55</v>
      </c>
      <c r="DA121">
        <f>94296.497</f>
        <v>94296.497000000003</v>
      </c>
      <c r="DB121">
        <f>93882.115</f>
        <v>93882.115000000005</v>
      </c>
      <c r="DC121">
        <f>89884.477</f>
        <v>89884.476999999999</v>
      </c>
      <c r="DD121">
        <f>91934.784</f>
        <v>91934.784</v>
      </c>
      <c r="DE121">
        <f>90928.218</f>
        <v>90928.217999999993</v>
      </c>
      <c r="DF121">
        <f>92991.716</f>
        <v>92991.716</v>
      </c>
      <c r="DG121">
        <f>91016.413</f>
        <v>91016.413</v>
      </c>
      <c r="DH121">
        <f>90858.779</f>
        <v>90858.778999999995</v>
      </c>
      <c r="DI121">
        <f>89441.21</f>
        <v>89441.21</v>
      </c>
      <c r="DJ121">
        <f>89425.613</f>
        <v>89425.612999999998</v>
      </c>
      <c r="DK121">
        <f>87302.272</f>
        <v>87302.271999999997</v>
      </c>
      <c r="DL121">
        <f>86741.424</f>
        <v>86741.423999999999</v>
      </c>
      <c r="DM121">
        <f>87569.856</f>
        <v>87569.856</v>
      </c>
      <c r="DN121">
        <f>88762.571</f>
        <v>88762.570999999996</v>
      </c>
      <c r="DO121">
        <f>89405.605</f>
        <v>89405.604999999996</v>
      </c>
      <c r="DP121">
        <f>88858.6</f>
        <v>88858.6</v>
      </c>
      <c r="DQ121">
        <f>90311.402</f>
        <v>90311.402000000002</v>
      </c>
      <c r="DR121">
        <f>91718.216</f>
        <v>91718.216</v>
      </c>
      <c r="DS121">
        <f>94073.954</f>
        <v>94073.953999999998</v>
      </c>
      <c r="DT121">
        <f>94286.771</f>
        <v>94286.770999999993</v>
      </c>
      <c r="DU121" t="str">
        <f>""</f>
        <v/>
      </c>
    </row>
    <row r="122" spans="1:125" x14ac:dyDescent="0.25">
      <c r="A122" t="str">
        <f>"            M&amp;T Bank Corp"</f>
        <v xml:space="preserve">            M&amp;T Bank Corp</v>
      </c>
      <c r="B122" t="str">
        <f>"MTB US Equity"</f>
        <v>MTB US Equity</v>
      </c>
      <c r="C122" t="str">
        <f t="shared" si="16"/>
        <v>FC001</v>
      </c>
      <c r="D122" t="str">
        <f t="shared" si="17"/>
        <v>FDIC_TOTAL_ASSETS</v>
      </c>
      <c r="E122" t="str">
        <f t="shared" si="18"/>
        <v>Dynamic</v>
      </c>
      <c r="F122">
        <f ca="1">IF(AND(ISNUMBER($F$259),$B$145=1),$F$259,HLOOKUP(INDIRECT(ADDRESS(2,COLUMN())),OFFSET($BN$2,0,0,ROW()-1,60),ROW()-1,FALSE))</f>
        <v>208104.916</v>
      </c>
      <c r="G122">
        <f ca="1">IF(AND(ISNUMBER($G$259),$B$145=1),$G$259,HLOOKUP(INDIRECT(ADDRESS(2,COLUMN())),OFFSET($BN$2,0,0,ROW()-1,60),ROW()-1,FALSE))</f>
        <v>211784.99400000001</v>
      </c>
      <c r="H122">
        <f ca="1">IF(AND(ISNUMBER($H$259),$B$145=1),$H$259,HLOOKUP(INDIRECT(ADDRESS(2,COLUMN())),OFFSET($BN$2,0,0,ROW()-1,60),ROW()-1,FALSE))</f>
        <v>208854.50099999999</v>
      </c>
      <c r="I122">
        <f ca="1">IF(AND(ISNUMBER($I$259),$B$145=1),$I$259,HLOOKUP(INDIRECT(ADDRESS(2,COLUMN())),OFFSET($BN$2,0,0,ROW()-1,60),ROW()-1,FALSE))</f>
        <v>215136.712</v>
      </c>
      <c r="J122">
        <f ca="1">IF(AND(ISNUMBER($J$259),$B$145=1),$J$259,HLOOKUP(INDIRECT(ADDRESS(2,COLUMN())),OFFSET($BN$2,0,0,ROW()-1,60),ROW()-1,FALSE))</f>
        <v>208263.598</v>
      </c>
      <c r="K122">
        <f ca="1">IF(AND(ISNUMBER($K$259),$B$145=1),$K$259,HLOOKUP(INDIRECT(ADDRESS(2,COLUMN())),OFFSET($BN$2,0,0,ROW()-1,60),ROW()-1,FALSE))</f>
        <v>209124.31599999999</v>
      </c>
      <c r="L122">
        <f ca="1">IF(AND(ISNUMBER($L$259),$B$145=1),$L$259,HLOOKUP(INDIRECT(ADDRESS(2,COLUMN())),OFFSET($BN$2,0,0,ROW()-1,60),ROW()-1,FALSE))</f>
        <v>207671.72899999999</v>
      </c>
      <c r="M122">
        <f ca="1">IF(AND(ISNUMBER($M$259),$B$145=1),$M$259,HLOOKUP(INDIRECT(ADDRESS(2,COLUMN())),OFFSET($BN$2,0,0,ROW()-1,60),ROW()-1,FALSE))</f>
        <v>202956.40700000001</v>
      </c>
      <c r="N122">
        <f ca="1">IF(AND(ISNUMBER($N$259),$B$145=1),$N$259,HLOOKUP(INDIRECT(ADDRESS(2,COLUMN())),OFFSET($BN$2,0,0,ROW()-1,60),ROW()-1,FALSE))</f>
        <v>200729.84099999999</v>
      </c>
      <c r="O122">
        <f ca="1">IF(AND(ISNUMBER($O$259),$B$145=1),$O$259,HLOOKUP(INDIRECT(ADDRESS(2,COLUMN())),OFFSET($BN$2,0,0,ROW()-1,60),ROW()-1,FALSE))</f>
        <v>197955.47899999999</v>
      </c>
      <c r="P122">
        <f ca="1">IF(AND(ISNUMBER($P$259),$B$145=1),$P$259,HLOOKUP(INDIRECT(ADDRESS(2,COLUMN())),OFFSET($BN$2,0,0,ROW()-1,60),ROW()-1,FALSE))</f>
        <v>204032.889</v>
      </c>
      <c r="Q122">
        <f ca="1">IF(AND(ISNUMBER($Q$259),$B$145=1),$Q$259,HLOOKUP(INDIRECT(ADDRESS(2,COLUMN())),OFFSET($BN$2,0,0,ROW()-1,60),ROW()-1,FALSE))</f>
        <v>149825.90700000001</v>
      </c>
      <c r="R122">
        <f ca="1">IF(AND(ISNUMBER($R$259),$B$145=1),$R$259,HLOOKUP(INDIRECT(ADDRESS(2,COLUMN())),OFFSET($BN$2,0,0,ROW()-1,60),ROW()-1,FALSE))</f>
        <v>155072.103</v>
      </c>
      <c r="S122">
        <f ca="1">IF(AND(ISNUMBER($S$259),$B$145=1),$S$259,HLOOKUP(INDIRECT(ADDRESS(2,COLUMN())),OFFSET($BN$2,0,0,ROW()-1,60),ROW()-1,FALSE))</f>
        <v>151866.23800000001</v>
      </c>
      <c r="T122">
        <f ca="1">IF(AND(ISNUMBER($T$259),$B$145=1),$T$259,HLOOKUP(INDIRECT(ADDRESS(2,COLUMN())),OFFSET($BN$2,0,0,ROW()-1,60),ROW()-1,FALSE))</f>
        <v>150589.66800000001</v>
      </c>
      <c r="U122">
        <f ca="1">IF(AND(ISNUMBER($U$259),$B$145=1),$U$259,HLOOKUP(INDIRECT(ADDRESS(2,COLUMN())),OFFSET($BN$2,0,0,ROW()-1,60),ROW()-1,FALSE))</f>
        <v>150481.06</v>
      </c>
      <c r="V122">
        <f ca="1">IF(AND(ISNUMBER($V$259),$B$145=1),$V$259,HLOOKUP(INDIRECT(ADDRESS(2,COLUMN())),OFFSET($BN$2,0,0,ROW()-1,60),ROW()-1,FALSE))</f>
        <v>142601.10500000001</v>
      </c>
      <c r="W122">
        <f ca="1">IF(AND(ISNUMBER($W$259),$B$145=1),$W$259,HLOOKUP(INDIRECT(ADDRESS(2,COLUMN())),OFFSET($BN$2,0,0,ROW()-1,60),ROW()-1,FALSE))</f>
        <v>138626.74299999999</v>
      </c>
      <c r="X122">
        <f ca="1">IF(AND(ISNUMBER($X$259),$B$145=1),$X$259,HLOOKUP(INDIRECT(ADDRESS(2,COLUMN())),OFFSET($BN$2,0,0,ROW()-1,60),ROW()-1,FALSE))</f>
        <v>139536.96900000001</v>
      </c>
      <c r="Y122">
        <f ca="1">IF(AND(ISNUMBER($Y$259),$B$145=1),$Y$259,HLOOKUP(INDIRECT(ADDRESS(2,COLUMN())),OFFSET($BN$2,0,0,ROW()-1,60),ROW()-1,FALSE))</f>
        <v>124577.833</v>
      </c>
      <c r="Z122">
        <f ca="1">IF(AND(ISNUMBER($Z$259),$B$145=1),$Z$259,HLOOKUP(INDIRECT(ADDRESS(2,COLUMN())),OFFSET($BN$2,0,0,ROW()-1,60),ROW()-1,FALSE))</f>
        <v>119872.757</v>
      </c>
      <c r="AA122">
        <f ca="1">IF(AND(ISNUMBER($AA$259),$B$145=1),$AA$259,HLOOKUP(INDIRECT(ADDRESS(2,COLUMN())),OFFSET($BN$2,0,0,ROW()-1,60),ROW()-1,FALSE))</f>
        <v>125500.92600000001</v>
      </c>
      <c r="AB122">
        <f ca="1">IF(AND(ISNUMBER($AB$259),$B$145=1),$AB$259,HLOOKUP(INDIRECT(ADDRESS(2,COLUMN())),OFFSET($BN$2,0,0,ROW()-1,60),ROW()-1,FALSE))</f>
        <v>121554.895</v>
      </c>
      <c r="AC122">
        <f ca="1">IF(AND(ISNUMBER($AC$259),$B$145=1),$AC$259,HLOOKUP(INDIRECT(ADDRESS(2,COLUMN())),OFFSET($BN$2,0,0,ROW()-1,60),ROW()-1,FALSE))</f>
        <v>120025.205</v>
      </c>
      <c r="AD122">
        <f ca="1">IF(AND(ISNUMBER($AD$259),$B$145=1),$AD$259,HLOOKUP(INDIRECT(ADDRESS(2,COLUMN())),OFFSET($BN$2,0,0,ROW()-1,60),ROW()-1,FALSE))</f>
        <v>120097.40300000001</v>
      </c>
      <c r="AE122">
        <f ca="1">IF(AND(ISNUMBER($AE$259),$B$145=1),$AE$259,HLOOKUP(INDIRECT(ADDRESS(2,COLUMN())),OFFSET($BN$2,0,0,ROW()-1,60),ROW()-1,FALSE))</f>
        <v>116827.637</v>
      </c>
      <c r="AF122">
        <f ca="1">IF(AND(ISNUMBER($AF$259),$B$145=1),$AF$259,HLOOKUP(INDIRECT(ADDRESS(2,COLUMN())),OFFSET($BN$2,0,0,ROW()-1,60),ROW()-1,FALSE))</f>
        <v>118426.053</v>
      </c>
      <c r="AG122">
        <f ca="1">IF(AND(ISNUMBER($AG$259),$B$145=1),$AG$259,HLOOKUP(INDIRECT(ADDRESS(2,COLUMN())),OFFSET($BN$2,0,0,ROW()-1,60),ROW()-1,FALSE))</f>
        <v>118622.82399999999</v>
      </c>
      <c r="AH122">
        <f ca="1">IF(AND(ISNUMBER($AH$259),$B$145=1),$AH$259,HLOOKUP(INDIRECT(ADDRESS(2,COLUMN())),OFFSET($BN$2,0,0,ROW()-1,60),ROW()-1,FALSE))</f>
        <v>118593.48699999999</v>
      </c>
      <c r="AI122">
        <f ca="1">IF(AND(ISNUMBER($AI$259),$B$145=1),$AI$259,HLOOKUP(INDIRECT(ADDRESS(2,COLUMN())),OFFSET($BN$2,0,0,ROW()-1,60),ROW()-1,FALSE))</f>
        <v>120401.804</v>
      </c>
      <c r="AJ122">
        <f ca="1">IF(AND(ISNUMBER($AJ$259),$B$145=1),$AJ$259,HLOOKUP(INDIRECT(ADDRESS(2,COLUMN())),OFFSET($BN$2,0,0,ROW()-1,60),ROW()-1,FALSE))</f>
        <v>120896.567</v>
      </c>
      <c r="AK122">
        <f ca="1">IF(AND(ISNUMBER($AK$259),$B$145=1),$AK$259,HLOOKUP(INDIRECT(ADDRESS(2,COLUMN())),OFFSET($BN$2,0,0,ROW()-1,60),ROW()-1,FALSE))</f>
        <v>123223.251</v>
      </c>
      <c r="AL122">
        <f ca="1">IF(AND(ISNUMBER($AL$259),$B$145=1),$AL$259,HLOOKUP(INDIRECT(ADDRESS(2,COLUMN())),OFFSET($BN$2,0,0,ROW()-1,60),ROW()-1,FALSE))</f>
        <v>123449.20600000001</v>
      </c>
      <c r="AM122">
        <f ca="1">IF(AND(ISNUMBER($AM$259),$B$145=1),$AM$259,HLOOKUP(INDIRECT(ADDRESS(2,COLUMN())),OFFSET($BN$2,0,0,ROW()-1,60),ROW()-1,FALSE))</f>
        <v>126841.02800000001</v>
      </c>
      <c r="AN122">
        <f ca="1">IF(AND(ISNUMBER($AN$259),$B$145=1),$AN$259,HLOOKUP(INDIRECT(ADDRESS(2,COLUMN())),OFFSET($BN$2,0,0,ROW()-1,60),ROW()-1,FALSE))</f>
        <v>123820.584</v>
      </c>
      <c r="AO122">
        <f ca="1">IF(AND(ISNUMBER($AO$259),$B$145=1),$AO$259,HLOOKUP(INDIRECT(ADDRESS(2,COLUMN())),OFFSET($BN$2,0,0,ROW()-1,60),ROW()-1,FALSE))</f>
        <v>124625.632</v>
      </c>
      <c r="AP122">
        <f ca="1">IF(AND(ISNUMBER($AP$259),$B$145=1),$AP$259,HLOOKUP(INDIRECT(ADDRESS(2,COLUMN())),OFFSET($BN$2,0,0,ROW()-1,60),ROW()-1,FALSE))</f>
        <v>122787.88400000001</v>
      </c>
      <c r="AQ122">
        <f ca="1">IF(AND(ISNUMBER($AQ$259),$B$145=1),$AQ$259,HLOOKUP(INDIRECT(ADDRESS(2,COLUMN())),OFFSET($BN$2,0,0,ROW()-1,60),ROW()-1,FALSE))</f>
        <v>97797.062000000005</v>
      </c>
      <c r="AR122">
        <f ca="1">IF(AND(ISNUMBER($AR$259),$B$145=1),$AR$259,HLOOKUP(INDIRECT(ADDRESS(2,COLUMN())),OFFSET($BN$2,0,0,ROW()-1,60),ROW()-1,FALSE))</f>
        <v>97080.076000000001</v>
      </c>
      <c r="AS122">
        <f ca="1">IF(AND(ISNUMBER($AS$259),$B$145=1),$AS$259,HLOOKUP(INDIRECT(ADDRESS(2,COLUMN())),OFFSET($BN$2,0,0,ROW()-1,60),ROW()-1,FALSE))</f>
        <v>98379.396999999997</v>
      </c>
      <c r="AT122">
        <f ca="1">IF(AND(ISNUMBER($AT$259),$B$145=1),$AT$259,HLOOKUP(INDIRECT(ADDRESS(2,COLUMN())),OFFSET($BN$2,0,0,ROW()-1,60),ROW()-1,FALSE))</f>
        <v>96687.224000000002</v>
      </c>
      <c r="AU122">
        <f ca="1">IF(AND(ISNUMBER($AU$259),$B$145=1),$AU$259,HLOOKUP(INDIRECT(ADDRESS(2,COLUMN())),OFFSET($BN$2,0,0,ROW()-1,60),ROW()-1,FALSE))</f>
        <v>97230.365999999995</v>
      </c>
      <c r="AV122">
        <f ca="1">IF(AND(ISNUMBER($AV$259),$B$145=1),$AV$259,HLOOKUP(INDIRECT(ADDRESS(2,COLUMN())),OFFSET($BN$2,0,0,ROW()-1,60),ROW()-1,FALSE))</f>
        <v>90835.001999999993</v>
      </c>
      <c r="AW122">
        <f ca="1">IF(AND(ISNUMBER($AW$259),$B$145=1),$AW$259,HLOOKUP(INDIRECT(ADDRESS(2,COLUMN())),OFFSET($BN$2,0,0,ROW()-1,60),ROW()-1,FALSE))</f>
        <v>88530.36</v>
      </c>
      <c r="AX122">
        <f ca="1">IF(AND(ISNUMBER($AX$259),$B$145=1),$AX$259,HLOOKUP(INDIRECT(ADDRESS(2,COLUMN())),OFFSET($BN$2,0,0,ROW()-1,60),ROW()-1,FALSE))</f>
        <v>85162.391000000003</v>
      </c>
      <c r="AY122">
        <f ca="1">IF(AND(ISNUMBER($AY$259),$B$145=1),$AY$259,HLOOKUP(INDIRECT(ADDRESS(2,COLUMN())),OFFSET($BN$2,0,0,ROW()-1,60),ROW()-1,FALSE))</f>
        <v>84427.485000000001</v>
      </c>
      <c r="AZ122">
        <f ca="1">IF(AND(ISNUMBER($AZ$259),$B$145=1),$AZ$259,HLOOKUP(INDIRECT(ADDRESS(2,COLUMN())),OFFSET($BN$2,0,0,ROW()-1,60),ROW()-1,FALSE))</f>
        <v>83229.005000000005</v>
      </c>
      <c r="BA122">
        <f ca="1">IF(AND(ISNUMBER($BA$259),$B$145=1),$BA$259,HLOOKUP(INDIRECT(ADDRESS(2,COLUMN())),OFFSET($BN$2,0,0,ROW()-1,60),ROW()-1,FALSE))</f>
        <v>82811.956999999995</v>
      </c>
      <c r="BB122">
        <f ca="1">IF(AND(ISNUMBER($BB$259),$B$145=1),$BB$259,HLOOKUP(INDIRECT(ADDRESS(2,COLUMN())),OFFSET($BN$2,0,0,ROW()-1,60),ROW()-1,FALSE))</f>
        <v>83008.803</v>
      </c>
      <c r="BC122">
        <f ca="1">IF(AND(ISNUMBER($BC$259),$B$145=1),$BC$259,HLOOKUP(INDIRECT(ADDRESS(2,COLUMN())),OFFSET($BN$2,0,0,ROW()-1,60),ROW()-1,FALSE))</f>
        <v>81085.232999999993</v>
      </c>
      <c r="BD122">
        <f ca="1">IF(AND(ISNUMBER($BD$259),$B$145=1),$BD$259,HLOOKUP(INDIRECT(ADDRESS(2,COLUMN())),OFFSET($BN$2,0,0,ROW()-1,60),ROW()-1,FALSE))</f>
        <v>80807.577999999994</v>
      </c>
      <c r="BE122">
        <f ca="1">IF(AND(ISNUMBER($BE$259),$B$145=1),$BE$259,HLOOKUP(INDIRECT(ADDRESS(2,COLUMN())),OFFSET($BN$2,0,0,ROW()-1,60),ROW()-1,FALSE))</f>
        <v>79186.887000000002</v>
      </c>
      <c r="BF122">
        <f ca="1">IF(AND(ISNUMBER($BF$259),$B$145=1),$BF$259,HLOOKUP(INDIRECT(ADDRESS(2,COLUMN())),OFFSET($BN$2,0,0,ROW()-1,60),ROW()-1,FALSE))</f>
        <v>77924.286999999997</v>
      </c>
      <c r="BG122">
        <f ca="1">IF(AND(ISNUMBER($BG$259),$B$145=1),$BG$259,HLOOKUP(INDIRECT(ADDRESS(2,COLUMN())),OFFSET($BN$2,0,0,ROW()-1,60),ROW()-1,FALSE))</f>
        <v>77863.891000000003</v>
      </c>
      <c r="BH122">
        <f ca="1">IF(AND(ISNUMBER($BH$259),$B$145=1),$BH$259,HLOOKUP(INDIRECT(ADDRESS(2,COLUMN())),OFFSET($BN$2,0,0,ROW()-1,60),ROW()-1,FALSE))</f>
        <v>77727.153999999995</v>
      </c>
      <c r="BI122">
        <f ca="1">IF(AND(ISNUMBER($BI$259),$B$145=1),$BI$259,HLOOKUP(INDIRECT(ADDRESS(2,COLUMN())),OFFSET($BN$2,0,0,ROW()-1,60),ROW()-1,FALSE))</f>
        <v>67881.207999999999</v>
      </c>
      <c r="BJ122">
        <f ca="1">IF(AND(ISNUMBER($BJ$259),$B$145=1),$BJ$259,HLOOKUP(INDIRECT(ADDRESS(2,COLUMN())),OFFSET($BN$2,0,0,ROW()-1,60),ROW()-1,FALSE))</f>
        <v>68021.263000000006</v>
      </c>
      <c r="BK122">
        <f ca="1">IF(AND(ISNUMBER($BK$259),$B$145=1),$BK$259,HLOOKUP(INDIRECT(ADDRESS(2,COLUMN())),OFFSET($BN$2,0,0,ROW()-1,60),ROW()-1,FALSE))</f>
        <v>68246.837</v>
      </c>
      <c r="BL122">
        <f ca="1">IF(AND(ISNUMBER($BL$259),$B$145=1),$BL$259,HLOOKUP(INDIRECT(ADDRESS(2,COLUMN())),OFFSET($BN$2,0,0,ROW()-1,60),ROW()-1,FALSE))</f>
        <v>68153.615999999995</v>
      </c>
      <c r="BM122" t="str">
        <f ca="1">IF(AND(ISNUMBER($BM$259),$B$145=1),$BM$259,HLOOKUP(INDIRECT(ADDRESS(2,COLUMN())),OFFSET($BN$2,0,0,ROW()-1,60),ROW()-1,FALSE))</f>
        <v/>
      </c>
      <c r="BN122">
        <f>208104.916</f>
        <v>208104.916</v>
      </c>
      <c r="BO122">
        <f>211784.994</f>
        <v>211784.99400000001</v>
      </c>
      <c r="BP122">
        <f>208854.501</f>
        <v>208854.50099999999</v>
      </c>
      <c r="BQ122">
        <f>215136.712</f>
        <v>215136.712</v>
      </c>
      <c r="BR122">
        <f>208263.598</f>
        <v>208263.598</v>
      </c>
      <c r="BS122">
        <f>209124.316</f>
        <v>209124.31599999999</v>
      </c>
      <c r="BT122">
        <f>207671.729</f>
        <v>207671.72899999999</v>
      </c>
      <c r="BU122">
        <f>202956.407</f>
        <v>202956.40700000001</v>
      </c>
      <c r="BV122">
        <f>200729.841</f>
        <v>200729.84099999999</v>
      </c>
      <c r="BW122">
        <f>197955.479</f>
        <v>197955.47899999999</v>
      </c>
      <c r="BX122">
        <f>204032.889</f>
        <v>204032.889</v>
      </c>
      <c r="BY122">
        <f>149825.907</f>
        <v>149825.90700000001</v>
      </c>
      <c r="BZ122">
        <f>155072.103</f>
        <v>155072.103</v>
      </c>
      <c r="CA122">
        <f>151866.238</f>
        <v>151866.23800000001</v>
      </c>
      <c r="CB122">
        <f>150589.668</f>
        <v>150589.66800000001</v>
      </c>
      <c r="CC122">
        <f>150481.06</f>
        <v>150481.06</v>
      </c>
      <c r="CD122">
        <f>142601.105</f>
        <v>142601.10500000001</v>
      </c>
      <c r="CE122">
        <f>138626.743</f>
        <v>138626.74299999999</v>
      </c>
      <c r="CF122">
        <f>139536.969</f>
        <v>139536.96900000001</v>
      </c>
      <c r="CG122">
        <f>124577.833</f>
        <v>124577.833</v>
      </c>
      <c r="CH122">
        <f>119872.757</f>
        <v>119872.757</v>
      </c>
      <c r="CI122">
        <f>125500.926</f>
        <v>125500.92600000001</v>
      </c>
      <c r="CJ122">
        <f>121554.895</f>
        <v>121554.895</v>
      </c>
      <c r="CK122">
        <f>120025.205</f>
        <v>120025.205</v>
      </c>
      <c r="CL122">
        <f>120097.403</f>
        <v>120097.40300000001</v>
      </c>
      <c r="CM122">
        <f>116827.637</f>
        <v>116827.637</v>
      </c>
      <c r="CN122">
        <f>118426.053</f>
        <v>118426.053</v>
      </c>
      <c r="CO122">
        <f>118622.824</f>
        <v>118622.82399999999</v>
      </c>
      <c r="CP122">
        <f>118593.487</f>
        <v>118593.48699999999</v>
      </c>
      <c r="CQ122">
        <f>120401.804</f>
        <v>120401.804</v>
      </c>
      <c r="CR122">
        <f>120896.567</f>
        <v>120896.567</v>
      </c>
      <c r="CS122">
        <f>123223.251</f>
        <v>123223.251</v>
      </c>
      <c r="CT122">
        <f>123449.206</f>
        <v>123449.20600000001</v>
      </c>
      <c r="CU122">
        <f>126841.028</f>
        <v>126841.02800000001</v>
      </c>
      <c r="CV122">
        <f>123820.584</f>
        <v>123820.584</v>
      </c>
      <c r="CW122">
        <f>124625.632</f>
        <v>124625.632</v>
      </c>
      <c r="CX122">
        <f>122787.884</f>
        <v>122787.88400000001</v>
      </c>
      <c r="CY122">
        <f>97797.062</f>
        <v>97797.062000000005</v>
      </c>
      <c r="CZ122">
        <f>97080.076</f>
        <v>97080.076000000001</v>
      </c>
      <c r="DA122">
        <f>98379.397</f>
        <v>98379.396999999997</v>
      </c>
      <c r="DB122">
        <f>96687.224</f>
        <v>96687.224000000002</v>
      </c>
      <c r="DC122">
        <f>97230.366</f>
        <v>97230.365999999995</v>
      </c>
      <c r="DD122">
        <f>90835.002</f>
        <v>90835.001999999993</v>
      </c>
      <c r="DE122">
        <f>88530.36</f>
        <v>88530.36</v>
      </c>
      <c r="DF122">
        <f>85162.391</f>
        <v>85162.391000000003</v>
      </c>
      <c r="DG122">
        <f>84427.485</f>
        <v>84427.485000000001</v>
      </c>
      <c r="DH122">
        <f>83229.005</f>
        <v>83229.005000000005</v>
      </c>
      <c r="DI122">
        <f>82811.957</f>
        <v>82811.956999999995</v>
      </c>
      <c r="DJ122">
        <f>83008.803</f>
        <v>83008.803</v>
      </c>
      <c r="DK122">
        <f>81085.233</f>
        <v>81085.232999999993</v>
      </c>
      <c r="DL122">
        <f>80807.578</f>
        <v>80807.577999999994</v>
      </c>
      <c r="DM122">
        <f>79186.887</f>
        <v>79186.887000000002</v>
      </c>
      <c r="DN122">
        <f>77924.287</f>
        <v>77924.286999999997</v>
      </c>
      <c r="DO122">
        <f>77863.891</f>
        <v>77863.891000000003</v>
      </c>
      <c r="DP122">
        <f>77727.154</f>
        <v>77727.153999999995</v>
      </c>
      <c r="DQ122">
        <f>67881.208</f>
        <v>67881.207999999999</v>
      </c>
      <c r="DR122">
        <f>68021.263</f>
        <v>68021.263000000006</v>
      </c>
      <c r="DS122">
        <f>68246.837</f>
        <v>68246.837</v>
      </c>
      <c r="DT122">
        <f>68153.616</f>
        <v>68153.615999999995</v>
      </c>
      <c r="DU122" t="str">
        <f>""</f>
        <v/>
      </c>
    </row>
    <row r="123" spans="1:125" x14ac:dyDescent="0.25">
      <c r="A123" t="str">
        <f>"            PNC Financial Services Group I"</f>
        <v xml:space="preserve">            PNC Financial Services Group I</v>
      </c>
      <c r="B123" t="str">
        <f>"PNC US Equity"</f>
        <v>PNC US Equity</v>
      </c>
      <c r="C123" t="str">
        <f t="shared" si="16"/>
        <v>FC001</v>
      </c>
      <c r="D123" t="str">
        <f t="shared" si="17"/>
        <v>FDIC_TOTAL_ASSETS</v>
      </c>
      <c r="E123" t="str">
        <f t="shared" si="18"/>
        <v>Dynamic</v>
      </c>
      <c r="F123" t="str">
        <f ca="1">IF(AND(ISNUMBER($F$260),$B$145=1),$F$260,HLOOKUP(INDIRECT(ADDRESS(2,COLUMN())),OFFSET($BN$2,0,0,ROW()-1,60),ROW()-1,FALSE))</f>
        <v/>
      </c>
      <c r="G123" t="str">
        <f ca="1">IF(AND(ISNUMBER($G$260),$B$145=1),$G$260,HLOOKUP(INDIRECT(ADDRESS(2,COLUMN())),OFFSET($BN$2,0,0,ROW()-1,60),ROW()-1,FALSE))</f>
        <v/>
      </c>
      <c r="H123">
        <f ca="1">IF(AND(ISNUMBER($H$260),$B$145=1),$H$260,HLOOKUP(INDIRECT(ADDRESS(2,COLUMN())),OFFSET($BN$2,0,0,ROW()-1,60),ROW()-1,FALSE))</f>
        <v>556539.10900000005</v>
      </c>
      <c r="I123">
        <f ca="1">IF(AND(ISNUMBER($I$260),$B$145=1),$I$260,HLOOKUP(INDIRECT(ADDRESS(2,COLUMN())),OFFSET($BN$2,0,0,ROW()-1,60),ROW()-1,FALSE))</f>
        <v>566181.44700000004</v>
      </c>
      <c r="J123">
        <f ca="1">IF(AND(ISNUMBER($J$260),$B$145=1),$J$260,HLOOKUP(INDIRECT(ADDRESS(2,COLUMN())),OFFSET($BN$2,0,0,ROW()-1,60),ROW()-1,FALSE))</f>
        <v>561599.81299999997</v>
      </c>
      <c r="K123">
        <f ca="1">IF(AND(ISNUMBER($K$260),$B$145=1),$K$260,HLOOKUP(INDIRECT(ADDRESS(2,COLUMN())),OFFSET($BN$2,0,0,ROW()-1,60),ROW()-1,FALSE))</f>
        <v>557355.74300000002</v>
      </c>
      <c r="L123">
        <f ca="1">IF(AND(ISNUMBER($L$260),$B$145=1),$L$260,HLOOKUP(INDIRECT(ADDRESS(2,COLUMN())),OFFSET($BN$2,0,0,ROW()-1,60),ROW()-1,FALSE))</f>
        <v>558222.91799999995</v>
      </c>
      <c r="M123">
        <f ca="1">IF(AND(ISNUMBER($M$260),$B$145=1),$M$260,HLOOKUP(INDIRECT(ADDRESS(2,COLUMN())),OFFSET($BN$2,0,0,ROW()-1,60),ROW()-1,FALSE))</f>
        <v>561825.21699999995</v>
      </c>
      <c r="N123">
        <f ca="1">IF(AND(ISNUMBER($N$260),$B$145=1),$N$260,HLOOKUP(INDIRECT(ADDRESS(2,COLUMN())),OFFSET($BN$2,0,0,ROW()-1,60),ROW()-1,FALSE))</f>
        <v>557293.58200000005</v>
      </c>
      <c r="O123">
        <f ca="1">IF(AND(ISNUMBER($O$260),$B$145=1),$O$260,HLOOKUP(INDIRECT(ADDRESS(2,COLUMN())),OFFSET($BN$2,0,0,ROW()-1,60),ROW()-1,FALSE))</f>
        <v>559495.69900000002</v>
      </c>
      <c r="P123">
        <f ca="1">IF(AND(ISNUMBER($P$260),$B$145=1),$P$260,HLOOKUP(INDIRECT(ADDRESS(2,COLUMN())),OFFSET($BN$2,0,0,ROW()-1,60),ROW()-1,FALSE))</f>
        <v>541012.603</v>
      </c>
      <c r="Q123">
        <f ca="1">IF(AND(ISNUMBER($Q$260),$B$145=1),$Q$260,HLOOKUP(INDIRECT(ADDRESS(2,COLUMN())),OFFSET($BN$2,0,0,ROW()-1,60),ROW()-1,FALSE))</f>
        <v>541469.01399999997</v>
      </c>
      <c r="R123">
        <f ca="1">IF(AND(ISNUMBER($R$260),$B$145=1),$R$260,HLOOKUP(INDIRECT(ADDRESS(2,COLUMN())),OFFSET($BN$2,0,0,ROW()-1,60),ROW()-1,FALSE))</f>
        <v>557251.076</v>
      </c>
      <c r="S123">
        <f ca="1">IF(AND(ISNUMBER($S$260),$B$145=1),$S$260,HLOOKUP(INDIRECT(ADDRESS(2,COLUMN())),OFFSET($BN$2,0,0,ROW()-1,60),ROW()-1,FALSE))</f>
        <v>554456.68900000001</v>
      </c>
      <c r="T123">
        <f ca="1">IF(AND(ISNUMBER($T$260),$B$145=1),$T$260,HLOOKUP(INDIRECT(ADDRESS(2,COLUMN())),OFFSET($BN$2,0,0,ROW()-1,60),ROW()-1,FALSE))</f>
        <v>554775.84</v>
      </c>
      <c r="U123">
        <f ca="1">IF(AND(ISNUMBER($U$260),$B$145=1),$U$260,HLOOKUP(INDIRECT(ADDRESS(2,COLUMN())),OFFSET($BN$2,0,0,ROW()-1,60),ROW()-1,FALSE))</f>
        <v>474509.29499999998</v>
      </c>
      <c r="V123">
        <f ca="1">IF(AND(ISNUMBER($V$260),$B$145=1),$V$260,HLOOKUP(INDIRECT(ADDRESS(2,COLUMN())),OFFSET($BN$2,0,0,ROW()-1,60),ROW()-1,FALSE))</f>
        <v>466864.739</v>
      </c>
      <c r="W123">
        <f ca="1">IF(AND(ISNUMBER($W$260),$B$145=1),$W$260,HLOOKUP(INDIRECT(ADDRESS(2,COLUMN())),OFFSET($BN$2,0,0,ROW()-1,60),ROW()-1,FALSE))</f>
        <v>461914.32699999999</v>
      </c>
      <c r="X123">
        <f ca="1">IF(AND(ISNUMBER($X$260),$B$145=1),$X$260,HLOOKUP(INDIRECT(ADDRESS(2,COLUMN())),OFFSET($BN$2,0,0,ROW()-1,60),ROW()-1,FALSE))</f>
        <v>459038.46299999999</v>
      </c>
      <c r="Y123">
        <f ca="1">IF(AND(ISNUMBER($Y$260),$B$145=1),$Y$260,HLOOKUP(INDIRECT(ADDRESS(2,COLUMN())),OFFSET($BN$2,0,0,ROW()-1,60),ROW()-1,FALSE))</f>
        <v>445567.54599999997</v>
      </c>
      <c r="Z123">
        <f ca="1">IF(AND(ISNUMBER($Z$260),$B$145=1),$Z$260,HLOOKUP(INDIRECT(ADDRESS(2,COLUMN())),OFFSET($BN$2,0,0,ROW()-1,60),ROW()-1,FALSE))</f>
        <v>410373.28100000002</v>
      </c>
      <c r="AA123">
        <f ca="1">IF(AND(ISNUMBER($AA$260),$B$145=1),$AA$260,HLOOKUP(INDIRECT(ADDRESS(2,COLUMN())),OFFSET($BN$2,0,0,ROW()-1,60),ROW()-1,FALSE))</f>
        <v>409007.22700000001</v>
      </c>
      <c r="AB123">
        <f ca="1">IF(AND(ISNUMBER($AB$260),$B$145=1),$AB$260,HLOOKUP(INDIRECT(ADDRESS(2,COLUMN())),OFFSET($BN$2,0,0,ROW()-1,60),ROW()-1,FALSE))</f>
        <v>405855.13500000001</v>
      </c>
      <c r="AC123">
        <f ca="1">IF(AND(ISNUMBER($AC$260),$B$145=1),$AC$260,HLOOKUP(INDIRECT(ADDRESS(2,COLUMN())),OFFSET($BN$2,0,0,ROW()-1,60),ROW()-1,FALSE))</f>
        <v>392853.92300000001</v>
      </c>
      <c r="AD123">
        <f ca="1">IF(AND(ISNUMBER($AD$260),$B$145=1),$AD$260,HLOOKUP(INDIRECT(ADDRESS(2,COLUMN())),OFFSET($BN$2,0,0,ROW()-1,60),ROW()-1,FALSE))</f>
        <v>382334.64299999998</v>
      </c>
      <c r="AE123">
        <f ca="1">IF(AND(ISNUMBER($AE$260),$B$145=1),$AE$260,HLOOKUP(INDIRECT(ADDRESS(2,COLUMN())),OFFSET($BN$2,0,0,ROW()-1,60),ROW()-1,FALSE))</f>
        <v>380275.66600000003</v>
      </c>
      <c r="AF123">
        <f ca="1">IF(AND(ISNUMBER($AF$260),$B$145=1),$AF$260,HLOOKUP(INDIRECT(ADDRESS(2,COLUMN())),OFFSET($BN$2,0,0,ROW()-1,60),ROW()-1,FALSE))</f>
        <v>380796.20699999999</v>
      </c>
      <c r="AG123">
        <f ca="1">IF(AND(ISNUMBER($AG$260),$B$145=1),$AG$260,HLOOKUP(INDIRECT(ADDRESS(2,COLUMN())),OFFSET($BN$2,0,0,ROW()-1,60),ROW()-1,FALSE))</f>
        <v>379753.92300000001</v>
      </c>
      <c r="AH123">
        <f ca="1">IF(AND(ISNUMBER($AH$260),$B$145=1),$AH$260,HLOOKUP(INDIRECT(ADDRESS(2,COLUMN())),OFFSET($BN$2,0,0,ROW()-1,60),ROW()-1,FALSE))</f>
        <v>381450.62199999997</v>
      </c>
      <c r="AI123">
        <f ca="1">IF(AND(ISNUMBER($AI$260),$B$145=1),$AI$260,HLOOKUP(INDIRECT(ADDRESS(2,COLUMN())),OFFSET($BN$2,0,0,ROW()-1,60),ROW()-1,FALSE))</f>
        <v>375255.76500000001</v>
      </c>
      <c r="AJ123">
        <f ca="1">IF(AND(ISNUMBER($AJ$260),$B$145=1),$AJ$260,HLOOKUP(INDIRECT(ADDRESS(2,COLUMN())),OFFSET($BN$2,0,0,ROW()-1,60),ROW()-1,FALSE))</f>
        <v>372356.96100000001</v>
      </c>
      <c r="AK123">
        <f ca="1">IF(AND(ISNUMBER($AK$260),$B$145=1),$AK$260,HLOOKUP(INDIRECT(ADDRESS(2,COLUMN())),OFFSET($BN$2,0,0,ROW()-1,60),ROW()-1,FALSE))</f>
        <v>371278.32699999999</v>
      </c>
      <c r="AL123">
        <f ca="1">IF(AND(ISNUMBER($AL$260),$B$145=1),$AL$260,HLOOKUP(INDIRECT(ADDRESS(2,COLUMN())),OFFSET($BN$2,0,0,ROW()-1,60),ROW()-1,FALSE))</f>
        <v>366872.24900000001</v>
      </c>
      <c r="AM123">
        <f ca="1">IF(AND(ISNUMBER($AM$260),$B$145=1),$AM$260,HLOOKUP(INDIRECT(ADDRESS(2,COLUMN())),OFFSET($BN$2,0,0,ROW()-1,60),ROW()-1,FALSE))</f>
        <v>369441.90500000003</v>
      </c>
      <c r="AN123">
        <f ca="1">IF(AND(ISNUMBER($AN$260),$B$145=1),$AN$260,HLOOKUP(INDIRECT(ADDRESS(2,COLUMN())),OFFSET($BN$2,0,0,ROW()-1,60),ROW()-1,FALSE))</f>
        <v>361528.40600000002</v>
      </c>
      <c r="AO123">
        <f ca="1">IF(AND(ISNUMBER($AO$260),$B$145=1),$AO$260,HLOOKUP(INDIRECT(ADDRESS(2,COLUMN())),OFFSET($BN$2,0,0,ROW()-1,60),ROW()-1,FALSE))</f>
        <v>361187.04</v>
      </c>
      <c r="AP123">
        <f ca="1">IF(AND(ISNUMBER($AP$260),$B$145=1),$AP$260,HLOOKUP(INDIRECT(ADDRESS(2,COLUMN())),OFFSET($BN$2,0,0,ROW()-1,60),ROW()-1,FALSE))</f>
        <v>358690.08500000002</v>
      </c>
      <c r="AQ123">
        <f ca="1">IF(AND(ISNUMBER($AQ$260),$B$145=1),$AQ$260,HLOOKUP(INDIRECT(ADDRESS(2,COLUMN())),OFFSET($BN$2,0,0,ROW()-1,60),ROW()-1,FALSE))</f>
        <v>362137.16399999999</v>
      </c>
      <c r="AR123">
        <f ca="1">IF(AND(ISNUMBER($AR$260),$B$145=1),$AR$260,HLOOKUP(INDIRECT(ADDRESS(2,COLUMN())),OFFSET($BN$2,0,0,ROW()-1,60),ROW()-1,FALSE))</f>
        <v>354201.92499999999</v>
      </c>
      <c r="AS123">
        <f ca="1">IF(AND(ISNUMBER($AS$260),$B$145=1),$AS$260,HLOOKUP(INDIRECT(ADDRESS(2,COLUMN())),OFFSET($BN$2,0,0,ROW()-1,60),ROW()-1,FALSE))</f>
        <v>351162.10499999998</v>
      </c>
      <c r="AT123">
        <f ca="1">IF(AND(ISNUMBER($AT$260),$B$145=1),$AT$260,HLOOKUP(INDIRECT(ADDRESS(2,COLUMN())),OFFSET($BN$2,0,0,ROW()-1,60),ROW()-1,FALSE))</f>
        <v>345243.08100000001</v>
      </c>
      <c r="AU123">
        <f ca="1">IF(AND(ISNUMBER($AU$260),$B$145=1),$AU$260,HLOOKUP(INDIRECT(ADDRESS(2,COLUMN())),OFFSET($BN$2,0,0,ROW()-1,60),ROW()-1,FALSE))</f>
        <v>334602.342</v>
      </c>
      <c r="AV123">
        <f ca="1">IF(AND(ISNUMBER($AV$260),$B$145=1),$AV$260,HLOOKUP(INDIRECT(ADDRESS(2,COLUMN())),OFFSET($BN$2,0,0,ROW()-1,60),ROW()-1,FALSE))</f>
        <v>327251.47399999999</v>
      </c>
      <c r="AW123">
        <f ca="1">IF(AND(ISNUMBER($AW$260),$B$145=1),$AW$260,HLOOKUP(INDIRECT(ADDRESS(2,COLUMN())),OFFSET($BN$2,0,0,ROW()-1,60),ROW()-1,FALSE))</f>
        <v>323586.973</v>
      </c>
      <c r="AX123">
        <f ca="1">IF(AND(ISNUMBER($AX$260),$B$145=1),$AX$260,HLOOKUP(INDIRECT(ADDRESS(2,COLUMN())),OFFSET($BN$2,0,0,ROW()-1,60),ROW()-1,FALSE))</f>
        <v>320596.23200000002</v>
      </c>
      <c r="AY123">
        <f ca="1">IF(AND(ISNUMBER($AY$260),$B$145=1),$AY$260,HLOOKUP(INDIRECT(ADDRESS(2,COLUMN())),OFFSET($BN$2,0,0,ROW()-1,60),ROW()-1,FALSE))</f>
        <v>308912.603</v>
      </c>
      <c r="AZ123">
        <f ca="1">IF(AND(ISNUMBER($AZ$260),$B$145=1),$AZ$260,HLOOKUP(INDIRECT(ADDRESS(2,COLUMN())),OFFSET($BN$2,0,0,ROW()-1,60),ROW()-1,FALSE))</f>
        <v>304547.66700000002</v>
      </c>
      <c r="BA123">
        <f ca="1">IF(AND(ISNUMBER($BA$260),$B$145=1),$BA$260,HLOOKUP(INDIRECT(ADDRESS(2,COLUMN())),OFFSET($BN$2,0,0,ROW()-1,60),ROW()-1,FALSE))</f>
        <v>300945.93300000002</v>
      </c>
      <c r="BB123">
        <f ca="1">IF(AND(ISNUMBER($BB$260),$B$145=1),$BB$260,HLOOKUP(INDIRECT(ADDRESS(2,COLUMN())),OFFSET($BN$2,0,0,ROW()-1,60),ROW()-1,FALSE))</f>
        <v>305285.87900000002</v>
      </c>
      <c r="BC123">
        <f ca="1">IF(AND(ISNUMBER($BC$260),$B$145=1),$BC$260,HLOOKUP(INDIRECT(ADDRESS(2,COLUMN())),OFFSET($BN$2,0,0,ROW()-1,60),ROW()-1,FALSE))</f>
        <v>301077.31099999999</v>
      </c>
      <c r="BD123">
        <f ca="1">IF(AND(ISNUMBER($BD$260),$B$145=1),$BD$260,HLOOKUP(INDIRECT(ADDRESS(2,COLUMN())),OFFSET($BN$2,0,0,ROW()-1,60),ROW()-1,FALSE))</f>
        <v>299712.01799999998</v>
      </c>
      <c r="BE123">
        <f ca="1">IF(AND(ISNUMBER($BE$260),$B$145=1),$BE$260,HLOOKUP(INDIRECT(ADDRESS(2,COLUMN())),OFFSET($BN$2,0,0,ROW()-1,60),ROW()-1,FALSE))</f>
        <v>296119.07</v>
      </c>
      <c r="BF123">
        <f ca="1">IF(AND(ISNUMBER($BF$260),$B$145=1),$BF$260,HLOOKUP(INDIRECT(ADDRESS(2,COLUMN())),OFFSET($BN$2,0,0,ROW()-1,60),ROW()-1,FALSE))</f>
        <v>271407.158</v>
      </c>
      <c r="BG123">
        <f ca="1">IF(AND(ISNUMBER($BG$260),$B$145=1),$BG$260,HLOOKUP(INDIRECT(ADDRESS(2,COLUMN())),OFFSET($BN$2,0,0,ROW()-1,60),ROW()-1,FALSE))</f>
        <v>269555.46600000001</v>
      </c>
      <c r="BH123">
        <f ca="1">IF(AND(ISNUMBER($BH$260),$B$145=1),$BH$260,HLOOKUP(INDIRECT(ADDRESS(2,COLUMN())),OFFSET($BN$2,0,0,ROW()-1,60),ROW()-1,FALSE))</f>
        <v>263259.89399999997</v>
      </c>
      <c r="BI123">
        <f ca="1">IF(AND(ISNUMBER($BI$260),$B$145=1),$BI$260,HLOOKUP(INDIRECT(ADDRESS(2,COLUMN())),OFFSET($BN$2,0,0,ROW()-1,60),ROW()-1,FALSE))</f>
        <v>259500.61199999999</v>
      </c>
      <c r="BJ123">
        <f ca="1">IF(AND(ISNUMBER($BJ$260),$B$145=1),$BJ$260,HLOOKUP(INDIRECT(ADDRESS(2,COLUMN())),OFFSET($BN$2,0,0,ROW()-1,60),ROW()-1,FALSE))</f>
        <v>264414.11200000002</v>
      </c>
      <c r="BK123">
        <f ca="1">IF(AND(ISNUMBER($BK$260),$B$145=1),$BK$260,HLOOKUP(INDIRECT(ADDRESS(2,COLUMN())),OFFSET($BN$2,0,0,ROW()-1,60),ROW()-1,FALSE))</f>
        <v>260174.10200000001</v>
      </c>
      <c r="BL123">
        <f ca="1">IF(AND(ISNUMBER($BL$260),$B$145=1),$BL$260,HLOOKUP(INDIRECT(ADDRESS(2,COLUMN())),OFFSET($BN$2,0,0,ROW()-1,60),ROW()-1,FALSE))</f>
        <v>261769.26199999999</v>
      </c>
      <c r="BM123">
        <f ca="1">IF(AND(ISNUMBER($BM$260),$B$145=1),$BM$260,HLOOKUP(INDIRECT(ADDRESS(2,COLUMN())),OFFSET($BN$2,0,0,ROW()-1,60),ROW()-1,FALSE))</f>
        <v>265432.97700000001</v>
      </c>
      <c r="BN123" t="str">
        <f>""</f>
        <v/>
      </c>
      <c r="BO123" t="str">
        <f>""</f>
        <v/>
      </c>
      <c r="BP123">
        <f>556539.109</f>
        <v>556539.10900000005</v>
      </c>
      <c r="BQ123">
        <f>566181.447</f>
        <v>566181.44700000004</v>
      </c>
      <c r="BR123">
        <f>561599.813</f>
        <v>561599.81299999997</v>
      </c>
      <c r="BS123">
        <f>557355.743</f>
        <v>557355.74300000002</v>
      </c>
      <c r="BT123">
        <f>558222.918</f>
        <v>558222.91799999995</v>
      </c>
      <c r="BU123">
        <f>561825.217</f>
        <v>561825.21699999995</v>
      </c>
      <c r="BV123">
        <f>557293.582</f>
        <v>557293.58200000005</v>
      </c>
      <c r="BW123">
        <f>559495.699</f>
        <v>559495.69900000002</v>
      </c>
      <c r="BX123">
        <f>541012.603</f>
        <v>541012.603</v>
      </c>
      <c r="BY123">
        <f>541469.014</f>
        <v>541469.01399999997</v>
      </c>
      <c r="BZ123">
        <f>557251.076</f>
        <v>557251.076</v>
      </c>
      <c r="CA123">
        <f>554456.689</f>
        <v>554456.68900000001</v>
      </c>
      <c r="CB123">
        <f>554775.84</f>
        <v>554775.84</v>
      </c>
      <c r="CC123">
        <f>474509.295</f>
        <v>474509.29499999998</v>
      </c>
      <c r="CD123">
        <f>466864.739</f>
        <v>466864.739</v>
      </c>
      <c r="CE123">
        <f>461914.327</f>
        <v>461914.32699999999</v>
      </c>
      <c r="CF123">
        <f>459038.463</f>
        <v>459038.46299999999</v>
      </c>
      <c r="CG123">
        <f>445567.546</f>
        <v>445567.54599999997</v>
      </c>
      <c r="CH123">
        <f>410373.281</f>
        <v>410373.28100000002</v>
      </c>
      <c r="CI123">
        <f>409007.227</f>
        <v>409007.22700000001</v>
      </c>
      <c r="CJ123">
        <f>405855.135</f>
        <v>405855.13500000001</v>
      </c>
      <c r="CK123">
        <f>392853.923</f>
        <v>392853.92300000001</v>
      </c>
      <c r="CL123">
        <f>382334.643</f>
        <v>382334.64299999998</v>
      </c>
      <c r="CM123">
        <f>380275.666</f>
        <v>380275.66600000003</v>
      </c>
      <c r="CN123">
        <f>380796.207</f>
        <v>380796.20699999999</v>
      </c>
      <c r="CO123">
        <f>379753.923</f>
        <v>379753.92300000001</v>
      </c>
      <c r="CP123">
        <f>381450.622</f>
        <v>381450.62199999997</v>
      </c>
      <c r="CQ123">
        <f>375255.765</f>
        <v>375255.76500000001</v>
      </c>
      <c r="CR123">
        <f>372356.961</f>
        <v>372356.96100000001</v>
      </c>
      <c r="CS123">
        <f>371278.327</f>
        <v>371278.32699999999</v>
      </c>
      <c r="CT123">
        <f>366872.249</f>
        <v>366872.24900000001</v>
      </c>
      <c r="CU123">
        <f>369441.905</f>
        <v>369441.90500000003</v>
      </c>
      <c r="CV123">
        <f>361528.406</f>
        <v>361528.40600000002</v>
      </c>
      <c r="CW123">
        <f>361187.04</f>
        <v>361187.04</v>
      </c>
      <c r="CX123">
        <f>358690.085</f>
        <v>358690.08500000002</v>
      </c>
      <c r="CY123">
        <f>362137.164</f>
        <v>362137.16399999999</v>
      </c>
      <c r="CZ123">
        <f>354201.925</f>
        <v>354201.92499999999</v>
      </c>
      <c r="DA123">
        <f>351162.105</f>
        <v>351162.10499999998</v>
      </c>
      <c r="DB123">
        <f>345243.081</f>
        <v>345243.08100000001</v>
      </c>
      <c r="DC123">
        <f>334602.342</f>
        <v>334602.342</v>
      </c>
      <c r="DD123">
        <f>327251.474</f>
        <v>327251.47399999999</v>
      </c>
      <c r="DE123">
        <f>323586.973</f>
        <v>323586.973</v>
      </c>
      <c r="DF123">
        <f>320596.232</f>
        <v>320596.23200000002</v>
      </c>
      <c r="DG123">
        <f>308912.603</f>
        <v>308912.603</v>
      </c>
      <c r="DH123">
        <f>304547.667</f>
        <v>304547.66700000002</v>
      </c>
      <c r="DI123">
        <f>300945.933</f>
        <v>300945.93300000002</v>
      </c>
      <c r="DJ123">
        <f>305285.879</f>
        <v>305285.87900000002</v>
      </c>
      <c r="DK123">
        <f>301077.311</f>
        <v>301077.31099999999</v>
      </c>
      <c r="DL123">
        <f>299712.018</f>
        <v>299712.01799999998</v>
      </c>
      <c r="DM123">
        <f>296119.07</f>
        <v>296119.07</v>
      </c>
      <c r="DN123">
        <f>271407.158</f>
        <v>271407.158</v>
      </c>
      <c r="DO123">
        <f>269555.466</f>
        <v>269555.46600000001</v>
      </c>
      <c r="DP123">
        <f>263259.894</f>
        <v>263259.89399999997</v>
      </c>
      <c r="DQ123">
        <f>259500.612</f>
        <v>259500.61199999999</v>
      </c>
      <c r="DR123">
        <f>264414.112</f>
        <v>264414.11200000002</v>
      </c>
      <c r="DS123">
        <f>260174.102</f>
        <v>260174.10200000001</v>
      </c>
      <c r="DT123">
        <f>261769.262</f>
        <v>261769.26199999999</v>
      </c>
      <c r="DU123">
        <f>265432.977</f>
        <v>265432.97700000001</v>
      </c>
    </row>
    <row r="124" spans="1:125" x14ac:dyDescent="0.25">
      <c r="A124" t="str">
        <f>"            Regions Financial Corp"</f>
        <v xml:space="preserve">            Regions Financial Corp</v>
      </c>
      <c r="B124" t="str">
        <f>"RF US Equity"</f>
        <v>RF US Equity</v>
      </c>
      <c r="C124" t="str">
        <f t="shared" si="16"/>
        <v>FC001</v>
      </c>
      <c r="D124" t="str">
        <f t="shared" si="17"/>
        <v>FDIC_TOTAL_ASSETS</v>
      </c>
      <c r="E124" t="str">
        <f t="shared" si="18"/>
        <v>Dynamic</v>
      </c>
      <c r="F124" t="str">
        <f ca="1">IF(AND(ISNUMBER($F$261),$B$145=1),$F$261,HLOOKUP(INDIRECT(ADDRESS(2,COLUMN())),OFFSET($BN$2,0,0,ROW()-1,60),ROW()-1,FALSE))</f>
        <v/>
      </c>
      <c r="G124">
        <f ca="1">IF(AND(ISNUMBER($G$261),$B$145=1),$G$261,HLOOKUP(INDIRECT(ADDRESS(2,COLUMN())),OFFSET($BN$2,0,0,ROW()-1,60),ROW()-1,FALSE))</f>
        <v>157740</v>
      </c>
      <c r="H124">
        <f ca="1">IF(AND(ISNUMBER($H$261),$B$145=1),$H$261,HLOOKUP(INDIRECT(ADDRESS(2,COLUMN())),OFFSET($BN$2,0,0,ROW()-1,60),ROW()-1,FALSE))</f>
        <v>154396</v>
      </c>
      <c r="I124">
        <f ca="1">IF(AND(ISNUMBER($I$261),$B$145=1),$I$261,HLOOKUP(INDIRECT(ADDRESS(2,COLUMN())),OFFSET($BN$2,0,0,ROW()-1,60),ROW()-1,FALSE))</f>
        <v>155227</v>
      </c>
      <c r="J124">
        <f ca="1">IF(AND(ISNUMBER($J$261),$B$145=1),$J$261,HLOOKUP(INDIRECT(ADDRESS(2,COLUMN())),OFFSET($BN$2,0,0,ROW()-1,60),ROW()-1,FALSE))</f>
        <v>152632</v>
      </c>
      <c r="K124">
        <f ca="1">IF(AND(ISNUMBER($K$261),$B$145=1),$K$261,HLOOKUP(INDIRECT(ADDRESS(2,COLUMN())),OFFSET($BN$2,0,0,ROW()-1,60),ROW()-1,FALSE))</f>
        <v>154218</v>
      </c>
      <c r="L124">
        <f ca="1">IF(AND(ISNUMBER($L$261),$B$145=1),$L$261,HLOOKUP(INDIRECT(ADDRESS(2,COLUMN())),OFFSET($BN$2,0,0,ROW()-1,60),ROW()-1,FALSE))</f>
        <v>155878</v>
      </c>
      <c r="M124">
        <f ca="1">IF(AND(ISNUMBER($M$261),$B$145=1),$M$261,HLOOKUP(INDIRECT(ADDRESS(2,COLUMN())),OFFSET($BN$2,0,0,ROW()-1,60),ROW()-1,FALSE))</f>
        <v>154296</v>
      </c>
      <c r="N124">
        <f ca="1">IF(AND(ISNUMBER($N$261),$B$145=1),$N$261,HLOOKUP(INDIRECT(ADDRESS(2,COLUMN())),OFFSET($BN$2,0,0,ROW()-1,60),ROW()-1,FALSE))</f>
        <v>155628</v>
      </c>
      <c r="O124">
        <f ca="1">IF(AND(ISNUMBER($O$261),$B$145=1),$O$261,HLOOKUP(INDIRECT(ADDRESS(2,COLUMN())),OFFSET($BN$2,0,0,ROW()-1,60),ROW()-1,FALSE))</f>
        <v>157943</v>
      </c>
      <c r="P124">
        <f ca="1">IF(AND(ISNUMBER($P$261),$B$145=1),$P$261,HLOOKUP(INDIRECT(ADDRESS(2,COLUMN())),OFFSET($BN$2,0,0,ROW()-1,60),ROW()-1,FALSE))</f>
        <v>160952</v>
      </c>
      <c r="Q124">
        <f ca="1">IF(AND(ISNUMBER($Q$261),$B$145=1),$Q$261,HLOOKUP(INDIRECT(ADDRESS(2,COLUMN())),OFFSET($BN$2,0,0,ROW()-1,60),ROW()-1,FALSE))</f>
        <v>164366</v>
      </c>
      <c r="R124">
        <f ca="1">IF(AND(ISNUMBER($R$261),$B$145=1),$R$261,HLOOKUP(INDIRECT(ADDRESS(2,COLUMN())),OFFSET($BN$2,0,0,ROW()-1,60),ROW()-1,FALSE))</f>
        <v>163445</v>
      </c>
      <c r="S124">
        <f ca="1">IF(AND(ISNUMBER($S$261),$B$145=1),$S$261,HLOOKUP(INDIRECT(ADDRESS(2,COLUMN())),OFFSET($BN$2,0,0,ROW()-1,60),ROW()-1,FALSE))</f>
        <v>156405</v>
      </c>
      <c r="T124">
        <f ca="1">IF(AND(ISNUMBER($T$261),$B$145=1),$T$261,HLOOKUP(INDIRECT(ADDRESS(2,COLUMN())),OFFSET($BN$2,0,0,ROW()-1,60),ROW()-1,FALSE))</f>
        <v>155754</v>
      </c>
      <c r="U124">
        <f ca="1">IF(AND(ISNUMBER($U$261),$B$145=1),$U$261,HLOOKUP(INDIRECT(ADDRESS(2,COLUMN())),OFFSET($BN$2,0,0,ROW()-1,60),ROW()-1,FALSE))</f>
        <v>153506</v>
      </c>
      <c r="V124">
        <f ca="1">IF(AND(ISNUMBER($V$261),$B$145=1),$V$261,HLOOKUP(INDIRECT(ADDRESS(2,COLUMN())),OFFSET($BN$2,0,0,ROW()-1,60),ROW()-1,FALSE))</f>
        <v>147598</v>
      </c>
      <c r="W124">
        <f ca="1">IF(AND(ISNUMBER($W$261),$B$145=1),$W$261,HLOOKUP(INDIRECT(ADDRESS(2,COLUMN())),OFFSET($BN$2,0,0,ROW()-1,60),ROW()-1,FALSE))</f>
        <v>145447</v>
      </c>
      <c r="X124">
        <f ca="1">IF(AND(ISNUMBER($X$261),$B$145=1),$X$261,HLOOKUP(INDIRECT(ADDRESS(2,COLUMN())),OFFSET($BN$2,0,0,ROW()-1,60),ROW()-1,FALSE))</f>
        <v>144373</v>
      </c>
      <c r="Y124">
        <f ca="1">IF(AND(ISNUMBER($Y$261),$B$145=1),$Y$261,HLOOKUP(INDIRECT(ADDRESS(2,COLUMN())),OFFSET($BN$2,0,0,ROW()-1,60),ROW()-1,FALSE))</f>
        <v>133638</v>
      </c>
      <c r="Z124">
        <f ca="1">IF(AND(ISNUMBER($Z$261),$B$145=1),$Z$261,HLOOKUP(INDIRECT(ADDRESS(2,COLUMN())),OFFSET($BN$2,0,0,ROW()-1,60),ROW()-1,FALSE))</f>
        <v>126633</v>
      </c>
      <c r="AA124">
        <f ca="1">IF(AND(ISNUMBER($AA$261),$B$145=1),$AA$261,HLOOKUP(INDIRECT(ADDRESS(2,COLUMN())),OFFSET($BN$2,0,0,ROW()-1,60),ROW()-1,FALSE))</f>
        <v>128436</v>
      </c>
      <c r="AB124">
        <f ca="1">IF(AND(ISNUMBER($AB$261),$B$145=1),$AB$261,HLOOKUP(INDIRECT(ADDRESS(2,COLUMN())),OFFSET($BN$2,0,0,ROW()-1,60),ROW()-1,FALSE))</f>
        <v>127871</v>
      </c>
      <c r="AC124">
        <f ca="1">IF(AND(ISNUMBER($AC$261),$B$145=1),$AC$261,HLOOKUP(INDIRECT(ADDRESS(2,COLUMN())),OFFSET($BN$2,0,0,ROW()-1,60),ROW()-1,FALSE))</f>
        <v>129089</v>
      </c>
      <c r="AD124">
        <f ca="1">IF(AND(ISNUMBER($AD$261),$B$145=1),$AD$261,HLOOKUP(INDIRECT(ADDRESS(2,COLUMN())),OFFSET($BN$2,0,0,ROW()-1,60),ROW()-1,FALSE))</f>
        <v>125767.14599999999</v>
      </c>
      <c r="AE124">
        <f ca="1">IF(AND(ISNUMBER($AE$261),$B$145=1),$AE$261,HLOOKUP(INDIRECT(ADDRESS(2,COLUMN())),OFFSET($BN$2,0,0,ROW()-1,60),ROW()-1,FALSE))</f>
        <v>124821.814</v>
      </c>
      <c r="AF124">
        <f ca="1">IF(AND(ISNUMBER($AF$261),$B$145=1),$AF$261,HLOOKUP(INDIRECT(ADDRESS(2,COLUMN())),OFFSET($BN$2,0,0,ROW()-1,60),ROW()-1,FALSE))</f>
        <v>124789.25</v>
      </c>
      <c r="AG124">
        <f ca="1">IF(AND(ISNUMBER($AG$261),$B$145=1),$AG$261,HLOOKUP(INDIRECT(ADDRESS(2,COLUMN())),OFFSET($BN$2,0,0,ROW()-1,60),ROW()-1,FALSE))</f>
        <v>123041.692</v>
      </c>
      <c r="AH124">
        <f ca="1">IF(AND(ISNUMBER($AH$261),$B$145=1),$AH$261,HLOOKUP(INDIRECT(ADDRESS(2,COLUMN())),OFFSET($BN$2,0,0,ROW()-1,60),ROW()-1,FALSE))</f>
        <v>124584.40399999999</v>
      </c>
      <c r="AI124">
        <f ca="1">IF(AND(ISNUMBER($AI$261),$B$145=1),$AI$261,HLOOKUP(INDIRECT(ADDRESS(2,COLUMN())),OFFSET($BN$2,0,0,ROW()-1,60),ROW()-1,FALSE))</f>
        <v>123518.484</v>
      </c>
      <c r="AJ124">
        <f ca="1">IF(AND(ISNUMBER($AJ$261),$B$145=1),$AJ$261,HLOOKUP(INDIRECT(ADDRESS(2,COLUMN())),OFFSET($BN$2,0,0,ROW()-1,60),ROW()-1,FALSE))</f>
        <v>124778.399</v>
      </c>
      <c r="AK124">
        <f ca="1">IF(AND(ISNUMBER($AK$261),$B$145=1),$AK$261,HLOOKUP(INDIRECT(ADDRESS(2,COLUMN())),OFFSET($BN$2,0,0,ROW()-1,60),ROW()-1,FALSE))</f>
        <v>124739.162</v>
      </c>
      <c r="AL124">
        <f ca="1">IF(AND(ISNUMBER($AL$261),$B$145=1),$AL$261,HLOOKUP(INDIRECT(ADDRESS(2,COLUMN())),OFFSET($BN$2,0,0,ROW()-1,60),ROW()-1,FALSE))</f>
        <v>126193.95699999999</v>
      </c>
      <c r="AM124">
        <f ca="1">IF(AND(ISNUMBER($AM$261),$B$145=1),$AM$261,HLOOKUP(INDIRECT(ADDRESS(2,COLUMN())),OFFSET($BN$2,0,0,ROW()-1,60),ROW()-1,FALSE))</f>
        <v>125307.103</v>
      </c>
      <c r="AN124">
        <f ca="1">IF(AND(ISNUMBER($AN$261),$B$145=1),$AN$261,HLOOKUP(INDIRECT(ADDRESS(2,COLUMN())),OFFSET($BN$2,0,0,ROW()-1,60),ROW()-1,FALSE))</f>
        <v>126378.482</v>
      </c>
      <c r="AO124">
        <f ca="1">IF(AND(ISNUMBER($AO$261),$B$145=1),$AO$261,HLOOKUP(INDIRECT(ADDRESS(2,COLUMN())),OFFSET($BN$2,0,0,ROW()-1,60),ROW()-1,FALSE))</f>
        <v>125747.379</v>
      </c>
      <c r="AP124">
        <f ca="1">IF(AND(ISNUMBER($AP$261),$B$145=1),$AP$261,HLOOKUP(INDIRECT(ADDRESS(2,COLUMN())),OFFSET($BN$2,0,0,ROW()-1,60),ROW()-1,FALSE))</f>
        <v>126234.344</v>
      </c>
      <c r="AQ124">
        <f ca="1">IF(AND(ISNUMBER($AQ$261),$B$145=1),$AQ$261,HLOOKUP(INDIRECT(ADDRESS(2,COLUMN())),OFFSET($BN$2,0,0,ROW()-1,60),ROW()-1,FALSE))</f>
        <v>124891.54</v>
      </c>
      <c r="AR124">
        <f ca="1">IF(AND(ISNUMBER($AR$261),$B$145=1),$AR$261,HLOOKUP(INDIRECT(ADDRESS(2,COLUMN())),OFFSET($BN$2,0,0,ROW()-1,60),ROW()-1,FALSE))</f>
        <v>121967.042</v>
      </c>
      <c r="AS124">
        <f ca="1">IF(AND(ISNUMBER($AS$261),$B$145=1),$AS$261,HLOOKUP(INDIRECT(ADDRESS(2,COLUMN())),OFFSET($BN$2,0,0,ROW()-1,60),ROW()-1,FALSE))</f>
        <v>122515.87699999999</v>
      </c>
      <c r="AT124">
        <f ca="1">IF(AND(ISNUMBER($AT$261),$B$145=1),$AT$261,HLOOKUP(INDIRECT(ADDRESS(2,COLUMN())),OFFSET($BN$2,0,0,ROW()-1,60),ROW()-1,FALSE))</f>
        <v>119888.66899999999</v>
      </c>
      <c r="AU124">
        <f ca="1">IF(AND(ISNUMBER($AU$261),$B$145=1),$AU$261,HLOOKUP(INDIRECT(ADDRESS(2,COLUMN())),OFFSET($BN$2,0,0,ROW()-1,60),ROW()-1,FALSE))</f>
        <v>119301.81299999999</v>
      </c>
      <c r="AV124">
        <f ca="1">IF(AND(ISNUMBER($AV$261),$B$145=1),$AV$261,HLOOKUP(INDIRECT(ADDRESS(2,COLUMN())),OFFSET($BN$2,0,0,ROW()-1,60),ROW()-1,FALSE))</f>
        <v>119013.705</v>
      </c>
      <c r="AW124">
        <f ca="1">IF(AND(ISNUMBER($AW$261),$B$145=1),$AW$261,HLOOKUP(INDIRECT(ADDRESS(2,COLUMN())),OFFSET($BN$2,0,0,ROW()-1,60),ROW()-1,FALSE))</f>
        <v>118136.516</v>
      </c>
      <c r="AX124">
        <f ca="1">IF(AND(ISNUMBER($AX$261),$B$145=1),$AX$261,HLOOKUP(INDIRECT(ADDRESS(2,COLUMN())),OFFSET($BN$2,0,0,ROW()-1,60),ROW()-1,FALSE))</f>
        <v>117661.732</v>
      </c>
      <c r="AY124">
        <f ca="1">IF(AND(ISNUMBER($AY$261),$B$145=1),$AY$261,HLOOKUP(INDIRECT(ADDRESS(2,COLUMN())),OFFSET($BN$2,0,0,ROW()-1,60),ROW()-1,FALSE))</f>
        <v>116937.255</v>
      </c>
      <c r="AZ124">
        <f ca="1">IF(AND(ISNUMBER($AZ$261),$B$145=1),$AZ$261,HLOOKUP(INDIRECT(ADDRESS(2,COLUMN())),OFFSET($BN$2,0,0,ROW()-1,60),ROW()-1,FALSE))</f>
        <v>118782.56299999999</v>
      </c>
      <c r="BA124">
        <f ca="1">IF(AND(ISNUMBER($BA$261),$B$145=1),$BA$261,HLOOKUP(INDIRECT(ADDRESS(2,COLUMN())),OFFSET($BN$2,0,0,ROW()-1,60),ROW()-1,FALSE))</f>
        <v>119717.632</v>
      </c>
      <c r="BB124">
        <f ca="1">IF(AND(ISNUMBER($BB$261),$B$145=1),$BB$261,HLOOKUP(INDIRECT(ADDRESS(2,COLUMN())),OFFSET($BN$2,0,0,ROW()-1,60),ROW()-1,FALSE))</f>
        <v>121347.38800000001</v>
      </c>
      <c r="BC124">
        <f ca="1">IF(AND(ISNUMBER($BC$261),$B$145=1),$BC$261,HLOOKUP(INDIRECT(ADDRESS(2,COLUMN())),OFFSET($BN$2,0,0,ROW()-1,60),ROW()-1,FALSE))</f>
        <v>121797.804</v>
      </c>
      <c r="BD124">
        <f ca="1">IF(AND(ISNUMBER($BD$261),$B$145=1),$BD$261,HLOOKUP(INDIRECT(ADDRESS(2,COLUMN())),OFFSET($BN$2,0,0,ROW()-1,60),ROW()-1,FALSE))</f>
        <v>122344.664</v>
      </c>
      <c r="BE124">
        <f ca="1">IF(AND(ISNUMBER($BE$261),$B$145=1),$BE$261,HLOOKUP(INDIRECT(ADDRESS(2,COLUMN())),OFFSET($BN$2,0,0,ROW()-1,60),ROW()-1,FALSE))</f>
        <v>128281.787</v>
      </c>
      <c r="BF124">
        <f ca="1">IF(AND(ISNUMBER($BF$261),$B$145=1),$BF$261,HLOOKUP(INDIRECT(ADDRESS(2,COLUMN())),OFFSET($BN$2,0,0,ROW()-1,60),ROW()-1,FALSE))</f>
        <v>127049.90700000001</v>
      </c>
      <c r="BG124">
        <f ca="1">IF(AND(ISNUMBER($BG$261),$B$145=1),$BG$261,HLOOKUP(INDIRECT(ADDRESS(2,COLUMN())),OFFSET($BN$2,0,0,ROW()-1,60),ROW()-1,FALSE))</f>
        <v>129761.507</v>
      </c>
      <c r="BH124">
        <f ca="1">IF(AND(ISNUMBER($BH$261),$B$145=1),$BH$261,HLOOKUP(INDIRECT(ADDRESS(2,COLUMN())),OFFSET($BN$2,0,0,ROW()-1,60),ROW()-1,FALSE))</f>
        <v>130907.84</v>
      </c>
      <c r="BI124">
        <f ca="1">IF(AND(ISNUMBER($BI$261),$B$145=1),$BI$261,HLOOKUP(INDIRECT(ADDRESS(2,COLUMN())),OFFSET($BN$2,0,0,ROW()-1,60),ROW()-1,FALSE))</f>
        <v>131798.82399999999</v>
      </c>
      <c r="BJ124">
        <f ca="1">IF(AND(ISNUMBER($BJ$261),$B$145=1),$BJ$261,HLOOKUP(INDIRECT(ADDRESS(2,COLUMN())),OFFSET($BN$2,0,0,ROW()-1,60),ROW()-1,FALSE))</f>
        <v>132399.29</v>
      </c>
      <c r="BK124">
        <f ca="1">IF(AND(ISNUMBER($BK$261),$B$145=1),$BK$261,HLOOKUP(INDIRECT(ADDRESS(2,COLUMN())),OFFSET($BN$2,0,0,ROW()-1,60),ROW()-1,FALSE))</f>
        <v>133554.89600000001</v>
      </c>
      <c r="BL124">
        <f ca="1">IF(AND(ISNUMBER($BL$261),$B$145=1),$BL$261,HLOOKUP(INDIRECT(ADDRESS(2,COLUMN())),OFFSET($BN$2,0,0,ROW()-1,60),ROW()-1,FALSE))</f>
        <v>135392.66</v>
      </c>
      <c r="BM124">
        <f ca="1">IF(AND(ISNUMBER($BM$261),$B$145=1),$BM$261,HLOOKUP(INDIRECT(ADDRESS(2,COLUMN())),OFFSET($BN$2,0,0,ROW()-1,60),ROW()-1,FALSE))</f>
        <v>137287.28599999999</v>
      </c>
      <c r="BN124" t="str">
        <f>""</f>
        <v/>
      </c>
      <c r="BO124">
        <f>157740</f>
        <v>157740</v>
      </c>
      <c r="BP124">
        <f>154396</f>
        <v>154396</v>
      </c>
      <c r="BQ124">
        <f>155227</f>
        <v>155227</v>
      </c>
      <c r="BR124">
        <f>152632</f>
        <v>152632</v>
      </c>
      <c r="BS124">
        <f>154218</f>
        <v>154218</v>
      </c>
      <c r="BT124">
        <f>155878</f>
        <v>155878</v>
      </c>
      <c r="BU124">
        <f>154296</f>
        <v>154296</v>
      </c>
      <c r="BV124">
        <f>155628</f>
        <v>155628</v>
      </c>
      <c r="BW124">
        <f>157943</f>
        <v>157943</v>
      </c>
      <c r="BX124">
        <f>160952</f>
        <v>160952</v>
      </c>
      <c r="BY124">
        <f>164366</f>
        <v>164366</v>
      </c>
      <c r="BZ124">
        <f>163445</f>
        <v>163445</v>
      </c>
      <c r="CA124">
        <f>156405</f>
        <v>156405</v>
      </c>
      <c r="CB124">
        <f>155754</f>
        <v>155754</v>
      </c>
      <c r="CC124">
        <f>153506</f>
        <v>153506</v>
      </c>
      <c r="CD124">
        <f>147598</f>
        <v>147598</v>
      </c>
      <c r="CE124">
        <f>145447</f>
        <v>145447</v>
      </c>
      <c r="CF124">
        <f>144373</f>
        <v>144373</v>
      </c>
      <c r="CG124">
        <f>133638</f>
        <v>133638</v>
      </c>
      <c r="CH124">
        <f>126633</f>
        <v>126633</v>
      </c>
      <c r="CI124">
        <f>128436</f>
        <v>128436</v>
      </c>
      <c r="CJ124">
        <f>127871</f>
        <v>127871</v>
      </c>
      <c r="CK124">
        <f>129089</f>
        <v>129089</v>
      </c>
      <c r="CL124">
        <f>125767.146</f>
        <v>125767.14599999999</v>
      </c>
      <c r="CM124">
        <f>124821.814</f>
        <v>124821.814</v>
      </c>
      <c r="CN124">
        <f>124789.25</f>
        <v>124789.25</v>
      </c>
      <c r="CO124">
        <f>123041.692</f>
        <v>123041.692</v>
      </c>
      <c r="CP124">
        <f>124584.404</f>
        <v>124584.40399999999</v>
      </c>
      <c r="CQ124">
        <f>123518.484</f>
        <v>123518.484</v>
      </c>
      <c r="CR124">
        <f>124778.399</f>
        <v>124778.399</v>
      </c>
      <c r="CS124">
        <f>124739.162</f>
        <v>124739.162</v>
      </c>
      <c r="CT124">
        <f>126193.957</f>
        <v>126193.95699999999</v>
      </c>
      <c r="CU124">
        <f>125307.103</f>
        <v>125307.103</v>
      </c>
      <c r="CV124">
        <f>126378.482</f>
        <v>126378.482</v>
      </c>
      <c r="CW124">
        <f>125747.379</f>
        <v>125747.379</v>
      </c>
      <c r="CX124">
        <f>126234.344</f>
        <v>126234.344</v>
      </c>
      <c r="CY124">
        <f>124891.54</f>
        <v>124891.54</v>
      </c>
      <c r="CZ124">
        <f>121967.042</f>
        <v>121967.042</v>
      </c>
      <c r="DA124">
        <f>122515.877</f>
        <v>122515.87699999999</v>
      </c>
      <c r="DB124">
        <f>119888.669</f>
        <v>119888.66899999999</v>
      </c>
      <c r="DC124">
        <f>119301.813</f>
        <v>119301.81299999999</v>
      </c>
      <c r="DD124">
        <f>119013.705</f>
        <v>119013.705</v>
      </c>
      <c r="DE124">
        <f>118136.516</f>
        <v>118136.516</v>
      </c>
      <c r="DF124">
        <f>117661.732</f>
        <v>117661.732</v>
      </c>
      <c r="DG124">
        <f>116937.255</f>
        <v>116937.255</v>
      </c>
      <c r="DH124">
        <f>118782.563</f>
        <v>118782.56299999999</v>
      </c>
      <c r="DI124">
        <f>119717.632</f>
        <v>119717.632</v>
      </c>
      <c r="DJ124">
        <f>121347.388</f>
        <v>121347.38800000001</v>
      </c>
      <c r="DK124">
        <f>121797.804</f>
        <v>121797.804</v>
      </c>
      <c r="DL124">
        <f>122344.664</f>
        <v>122344.664</v>
      </c>
      <c r="DM124">
        <f>128281.787</f>
        <v>128281.787</v>
      </c>
      <c r="DN124">
        <f>127049.907</f>
        <v>127049.90700000001</v>
      </c>
      <c r="DO124">
        <f>129761.507</f>
        <v>129761.507</v>
      </c>
      <c r="DP124">
        <f>130907.84</f>
        <v>130907.84</v>
      </c>
      <c r="DQ124">
        <f>131798.824</f>
        <v>131798.82399999999</v>
      </c>
      <c r="DR124">
        <f>132399.29</f>
        <v>132399.29</v>
      </c>
      <c r="DS124">
        <f>133554.896</f>
        <v>133554.89600000001</v>
      </c>
      <c r="DT124">
        <f>135392.66</f>
        <v>135392.66</v>
      </c>
      <c r="DU124">
        <f>137287.286</f>
        <v>137287.28599999999</v>
      </c>
    </row>
    <row r="125" spans="1:125" x14ac:dyDescent="0.25">
      <c r="A125" t="str">
        <f>"            Truist Financial Corp"</f>
        <v xml:space="preserve">            Truist Financial Corp</v>
      </c>
      <c r="B125" t="str">
        <f>"TFC US Equity"</f>
        <v>TFC US Equity</v>
      </c>
      <c r="C125" t="str">
        <f t="shared" si="16"/>
        <v>FC001</v>
      </c>
      <c r="D125" t="str">
        <f t="shared" si="17"/>
        <v>FDIC_TOTAL_ASSETS</v>
      </c>
      <c r="E125" t="str">
        <f t="shared" si="18"/>
        <v>Dynamic</v>
      </c>
      <c r="F125">
        <f ca="1">IF(AND(ISNUMBER($F$262),$B$145=1),$F$262,HLOOKUP(INDIRECT(ADDRESS(2,COLUMN())),OFFSET($BN$2,0,0,ROW()-1,60),ROW()-1,FALSE))</f>
        <v>531176</v>
      </c>
      <c r="G125">
        <f ca="1">IF(AND(ISNUMBER($G$262),$B$145=1),$G$262,HLOOKUP(INDIRECT(ADDRESS(2,COLUMN())),OFFSET($BN$2,0,0,ROW()-1,60),ROW()-1,FALSE))</f>
        <v>523434</v>
      </c>
      <c r="H125">
        <f ca="1">IF(AND(ISNUMBER($H$262),$B$145=1),$H$262,HLOOKUP(INDIRECT(ADDRESS(2,COLUMN())),OFFSET($BN$2,0,0,ROW()-1,60),ROW()-1,FALSE))</f>
        <v>519853</v>
      </c>
      <c r="I125">
        <f ca="1">IF(AND(ISNUMBER($I$262),$B$145=1),$I$262,HLOOKUP(INDIRECT(ADDRESS(2,COLUMN())),OFFSET($BN$2,0,0,ROW()-1,60),ROW()-1,FALSE))</f>
        <v>534959</v>
      </c>
      <c r="J125">
        <f ca="1">IF(AND(ISNUMBER($J$262),$B$145=1),$J$262,HLOOKUP(INDIRECT(ADDRESS(2,COLUMN())),OFFSET($BN$2,0,0,ROW()-1,60),ROW()-1,FALSE))</f>
        <v>535367</v>
      </c>
      <c r="K125">
        <f ca="1">IF(AND(ISNUMBER($K$262),$B$145=1),$K$262,HLOOKUP(INDIRECT(ADDRESS(2,COLUMN())),OFFSET($BN$2,0,0,ROW()-1,60),ROW()-1,FALSE))</f>
        <v>542966</v>
      </c>
      <c r="L125">
        <f ca="1">IF(AND(ISNUMBER($L$262),$B$145=1),$L$262,HLOOKUP(INDIRECT(ADDRESS(2,COLUMN())),OFFSET($BN$2,0,0,ROW()-1,60),ROW()-1,FALSE))</f>
        <v>554549</v>
      </c>
      <c r="M125">
        <f ca="1">IF(AND(ISNUMBER($M$262),$B$145=1),$M$262,HLOOKUP(INDIRECT(ADDRESS(2,COLUMN())),OFFSET($BN$2,0,0,ROW()-1,60),ROW()-1,FALSE))</f>
        <v>574549</v>
      </c>
      <c r="N125">
        <f ca="1">IF(AND(ISNUMBER($N$262),$B$145=1),$N$262,HLOOKUP(INDIRECT(ADDRESS(2,COLUMN())),OFFSET($BN$2,0,0,ROW()-1,60),ROW()-1,FALSE))</f>
        <v>555255</v>
      </c>
      <c r="O125">
        <f ca="1">IF(AND(ISNUMBER($O$262),$B$145=1),$O$262,HLOOKUP(INDIRECT(ADDRESS(2,COLUMN())),OFFSET($BN$2,0,0,ROW()-1,60),ROW()-1,FALSE))</f>
        <v>548438</v>
      </c>
      <c r="P125">
        <f ca="1">IF(AND(ISNUMBER($P$262),$B$145=1),$P$262,HLOOKUP(INDIRECT(ADDRESS(2,COLUMN())),OFFSET($BN$2,0,0,ROW()-1,60),ROW()-1,FALSE))</f>
        <v>545292</v>
      </c>
      <c r="Q125">
        <f ca="1">IF(AND(ISNUMBER($Q$262),$B$145=1),$Q$262,HLOOKUP(INDIRECT(ADDRESS(2,COLUMN())),OFFSET($BN$2,0,0,ROW()-1,60),ROW()-1,FALSE))</f>
        <v>543979</v>
      </c>
      <c r="R125">
        <f ca="1">IF(AND(ISNUMBER($R$262),$B$145=1),$R$262,HLOOKUP(INDIRECT(ADDRESS(2,COLUMN())),OFFSET($BN$2,0,0,ROW()-1,60),ROW()-1,FALSE))</f>
        <v>541241</v>
      </c>
      <c r="S125">
        <f ca="1">IF(AND(ISNUMBER($S$262),$B$145=1),$S$262,HLOOKUP(INDIRECT(ADDRESS(2,COLUMN())),OFFSET($BN$2,0,0,ROW()-1,60),ROW()-1,FALSE))</f>
        <v>529884</v>
      </c>
      <c r="T125">
        <f ca="1">IF(AND(ISNUMBER($T$262),$B$145=1),$T$262,HLOOKUP(INDIRECT(ADDRESS(2,COLUMN())),OFFSET($BN$2,0,0,ROW()-1,60),ROW()-1,FALSE))</f>
        <v>521964</v>
      </c>
      <c r="U125">
        <f ca="1">IF(AND(ISNUMBER($U$262),$B$145=1),$U$262,HLOOKUP(INDIRECT(ADDRESS(2,COLUMN())),OFFSET($BN$2,0,0,ROW()-1,60),ROW()-1,FALSE))</f>
        <v>517537</v>
      </c>
      <c r="V125">
        <f ca="1">IF(AND(ISNUMBER($V$262),$B$145=1),$V$262,HLOOKUP(INDIRECT(ADDRESS(2,COLUMN())),OFFSET($BN$2,0,0,ROW()-1,60),ROW()-1,FALSE))</f>
        <v>509228</v>
      </c>
      <c r="W125">
        <f ca="1">IF(AND(ISNUMBER($W$262),$B$145=1),$W$262,HLOOKUP(INDIRECT(ADDRESS(2,COLUMN())),OFFSET($BN$2,0,0,ROW()-1,60),ROW()-1,FALSE))</f>
        <v>499183</v>
      </c>
      <c r="X125">
        <f ca="1">IF(AND(ISNUMBER($X$262),$B$145=1),$X$262,HLOOKUP(INDIRECT(ADDRESS(2,COLUMN())),OFFSET($BN$2,0,0,ROW()-1,60),ROW()-1,FALSE))</f>
        <v>504336</v>
      </c>
      <c r="Y125">
        <f ca="1">IF(AND(ISNUMBER($Y$262),$B$145=1),$Y$262,HLOOKUP(INDIRECT(ADDRESS(2,COLUMN())),OFFSET($BN$2,0,0,ROW()-1,60),ROW()-1,FALSE))</f>
        <v>506229</v>
      </c>
      <c r="Z125">
        <f ca="1">IF(AND(ISNUMBER($Z$262),$B$145=1),$Z$262,HLOOKUP(INDIRECT(ADDRESS(2,COLUMN())),OFFSET($BN$2,0,0,ROW()-1,60),ROW()-1,FALSE))</f>
        <v>473078</v>
      </c>
      <c r="AA125">
        <f ca="1">IF(AND(ISNUMBER($AA$262),$B$145=1),$AA$262,HLOOKUP(INDIRECT(ADDRESS(2,COLUMN())),OFFSET($BN$2,0,0,ROW()-1,60),ROW()-1,FALSE))</f>
        <v>236750</v>
      </c>
      <c r="AB125">
        <f ca="1">IF(AND(ISNUMBER($AB$262),$B$145=1),$AB$262,HLOOKUP(INDIRECT(ADDRESS(2,COLUMN())),OFFSET($BN$2,0,0,ROW()-1,60),ROW()-1,FALSE))</f>
        <v>230872</v>
      </c>
      <c r="AC125">
        <f ca="1">IF(AND(ISNUMBER($AC$262),$B$145=1),$AC$262,HLOOKUP(INDIRECT(ADDRESS(2,COLUMN())),OFFSET($BN$2,0,0,ROW()-1,60),ROW()-1,FALSE))</f>
        <v>227683</v>
      </c>
      <c r="AD125">
        <f ca="1">IF(AND(ISNUMBER($AD$262),$B$145=1),$AD$262,HLOOKUP(INDIRECT(ADDRESS(2,COLUMN())),OFFSET($BN$2,0,0,ROW()-1,60),ROW()-1,FALSE))</f>
        <v>225697</v>
      </c>
      <c r="AE125">
        <f ca="1">IF(AND(ISNUMBER($AE$262),$B$145=1),$AE$262,HLOOKUP(INDIRECT(ADDRESS(2,COLUMN())),OFFSET($BN$2,0,0,ROW()-1,60),ROW()-1,FALSE))</f>
        <v>222885</v>
      </c>
      <c r="AF125">
        <f ca="1">IF(AND(ISNUMBER($AF$262),$B$145=1),$AF$262,HLOOKUP(INDIRECT(ADDRESS(2,COLUMN())),OFFSET($BN$2,0,0,ROW()-1,60),ROW()-1,FALSE))</f>
        <v>222681</v>
      </c>
      <c r="AG125">
        <f ca="1">IF(AND(ISNUMBER($AG$262),$B$145=1),$AG$262,HLOOKUP(INDIRECT(ADDRESS(2,COLUMN())),OFFSET($BN$2,0,0,ROW()-1,60),ROW()-1,FALSE))</f>
        <v>220729</v>
      </c>
      <c r="AH125">
        <f ca="1">IF(AND(ISNUMBER($AH$262),$B$145=1),$AH$262,HLOOKUP(INDIRECT(ADDRESS(2,COLUMN())),OFFSET($BN$2,0,0,ROW()-1,60),ROW()-1,FALSE))</f>
        <v>221642</v>
      </c>
      <c r="AI125">
        <f ca="1">IF(AND(ISNUMBER($AI$262),$B$145=1),$AI$262,HLOOKUP(INDIRECT(ADDRESS(2,COLUMN())),OFFSET($BN$2,0,0,ROW()-1,60),ROW()-1,FALSE))</f>
        <v>220340</v>
      </c>
      <c r="AJ125">
        <f ca="1">IF(AND(ISNUMBER($AJ$262),$B$145=1),$AJ$262,HLOOKUP(INDIRECT(ADDRESS(2,COLUMN())),OFFSET($BN$2,0,0,ROW()-1,60),ROW()-1,FALSE))</f>
        <v>221192</v>
      </c>
      <c r="AK125">
        <f ca="1">IF(AND(ISNUMBER($AK$262),$B$145=1),$AK$262,HLOOKUP(INDIRECT(ADDRESS(2,COLUMN())),OFFSET($BN$2,0,0,ROW()-1,60),ROW()-1,FALSE))</f>
        <v>220500.51800000001</v>
      </c>
      <c r="AL125">
        <f ca="1">IF(AND(ISNUMBER($AL$262),$B$145=1),$AL$262,HLOOKUP(INDIRECT(ADDRESS(2,COLUMN())),OFFSET($BN$2,0,0,ROW()-1,60),ROW()-1,FALSE))</f>
        <v>219276.323</v>
      </c>
      <c r="AM125">
        <f ca="1">IF(AND(ISNUMBER($AM$262),$B$145=1),$AM$262,HLOOKUP(INDIRECT(ADDRESS(2,COLUMN())),OFFSET($BN$2,0,0,ROW()-1,60),ROW()-1,FALSE))</f>
        <v>222622.299</v>
      </c>
      <c r="AN125">
        <f ca="1">IF(AND(ISNUMBER($AN$262),$B$145=1),$AN$262,HLOOKUP(INDIRECT(ADDRESS(2,COLUMN())),OFFSET($BN$2,0,0,ROW()-1,60),ROW()-1,FALSE))</f>
        <v>221858.61499999999</v>
      </c>
      <c r="AO125">
        <f ca="1">IF(AND(ISNUMBER($AO$262),$B$145=1),$AO$262,HLOOKUP(INDIRECT(ADDRESS(2,COLUMN())),OFFSET($BN$2,0,0,ROW()-1,60),ROW()-1,FALSE))</f>
        <v>212405.266</v>
      </c>
      <c r="AP125">
        <f ca="1">IF(AND(ISNUMBER($AP$262),$B$145=1),$AP$262,HLOOKUP(INDIRECT(ADDRESS(2,COLUMN())),OFFSET($BN$2,0,0,ROW()-1,60),ROW()-1,FALSE))</f>
        <v>209947.022</v>
      </c>
      <c r="AQ125">
        <f ca="1">IF(AND(ISNUMBER($AQ$262),$B$145=1),$AQ$262,HLOOKUP(INDIRECT(ADDRESS(2,COLUMN())),OFFSET($BN$2,0,0,ROW()-1,60),ROW()-1,FALSE))</f>
        <v>208808.671</v>
      </c>
      <c r="AR125">
        <f ca="1">IF(AND(ISNUMBER($AR$262),$B$145=1),$AR$262,HLOOKUP(INDIRECT(ADDRESS(2,COLUMN())),OFFSET($BN$2,0,0,ROW()-1,60),ROW()-1,FALSE))</f>
        <v>191017.48199999999</v>
      </c>
      <c r="AS125">
        <f ca="1">IF(AND(ISNUMBER($AS$262),$B$145=1),$AS$262,HLOOKUP(INDIRECT(ADDRESS(2,COLUMN())),OFFSET($BN$2,0,0,ROW()-1,60),ROW()-1,FALSE))</f>
        <v>189227.83799999999</v>
      </c>
      <c r="AT125">
        <f ca="1">IF(AND(ISNUMBER($AT$262),$B$145=1),$AT$262,HLOOKUP(INDIRECT(ADDRESS(2,COLUMN())),OFFSET($BN$2,0,0,ROW()-1,60),ROW()-1,FALSE))</f>
        <v>186813.98699999999</v>
      </c>
      <c r="AU125">
        <f ca="1">IF(AND(ISNUMBER($AU$262),$B$145=1),$AU$262,HLOOKUP(INDIRECT(ADDRESS(2,COLUMN())),OFFSET($BN$2,0,0,ROW()-1,60),ROW()-1,FALSE))</f>
        <v>187021.50899999999</v>
      </c>
      <c r="AV125">
        <f ca="1">IF(AND(ISNUMBER($AV$262),$B$145=1),$AV$262,HLOOKUP(INDIRECT(ADDRESS(2,COLUMN())),OFFSET($BN$2,0,0,ROW()-1,60),ROW()-1,FALSE))</f>
        <v>188012.33</v>
      </c>
      <c r="AW125">
        <f ca="1">IF(AND(ISNUMBER($AW$262),$B$145=1),$AW$262,HLOOKUP(INDIRECT(ADDRESS(2,COLUMN())),OFFSET($BN$2,0,0,ROW()-1,60),ROW()-1,FALSE))</f>
        <v>184651.158</v>
      </c>
      <c r="AX125">
        <f ca="1">IF(AND(ISNUMBER($AX$262),$B$145=1),$AX$262,HLOOKUP(INDIRECT(ADDRESS(2,COLUMN())),OFFSET($BN$2,0,0,ROW()-1,60),ROW()-1,FALSE))</f>
        <v>183009.992</v>
      </c>
      <c r="AY125">
        <f ca="1">IF(AND(ISNUMBER($AY$262),$B$145=1),$AY$262,HLOOKUP(INDIRECT(ADDRESS(2,COLUMN())),OFFSET($BN$2,0,0,ROW()-1,60),ROW()-1,FALSE))</f>
        <v>181050.008</v>
      </c>
      <c r="AZ125">
        <f ca="1">IF(AND(ISNUMBER($AZ$262),$B$145=1),$AZ$262,HLOOKUP(INDIRECT(ADDRESS(2,COLUMN())),OFFSET($BN$2,0,0,ROW()-1,60),ROW()-1,FALSE))</f>
        <v>182735.15299999999</v>
      </c>
      <c r="BA125">
        <f ca="1">IF(AND(ISNUMBER($BA$262),$B$145=1),$BA$262,HLOOKUP(INDIRECT(ADDRESS(2,COLUMN())),OFFSET($BN$2,0,0,ROW()-1,60),ROW()-1,FALSE))</f>
        <v>180836.75700000001</v>
      </c>
      <c r="BB125">
        <f ca="1">IF(AND(ISNUMBER($BB$262),$B$145=1),$BB$262,HLOOKUP(INDIRECT(ADDRESS(2,COLUMN())),OFFSET($BN$2,0,0,ROW()-1,60),ROW()-1,FALSE))</f>
        <v>183872.37100000001</v>
      </c>
      <c r="BC125">
        <f ca="1">IF(AND(ISNUMBER($BC$262),$B$145=1),$BC$262,HLOOKUP(INDIRECT(ADDRESS(2,COLUMN())),OFFSET($BN$2,0,0,ROW()-1,60),ROW()-1,FALSE))</f>
        <v>182021.37100000001</v>
      </c>
      <c r="BD125">
        <f ca="1">IF(AND(ISNUMBER($BD$262),$B$145=1),$BD$262,HLOOKUP(INDIRECT(ADDRESS(2,COLUMN())),OFFSET($BN$2,0,0,ROW()-1,60),ROW()-1,FALSE))</f>
        <v>178529.372</v>
      </c>
      <c r="BE125">
        <f ca="1">IF(AND(ISNUMBER($BE$262),$B$145=1),$BE$262,HLOOKUP(INDIRECT(ADDRESS(2,COLUMN())),OFFSET($BN$2,0,0,ROW()-1,60),ROW()-1,FALSE))</f>
        <v>174751.894</v>
      </c>
      <c r="BF125">
        <f ca="1">IF(AND(ISNUMBER($BF$262),$B$145=1),$BF$262,HLOOKUP(INDIRECT(ADDRESS(2,COLUMN())),OFFSET($BN$2,0,0,ROW()-1,60),ROW()-1,FALSE))</f>
        <v>174579.29399999999</v>
      </c>
      <c r="BG125">
        <f ca="1">IF(AND(ISNUMBER($BG$262),$B$145=1),$BG$262,HLOOKUP(INDIRECT(ADDRESS(2,COLUMN())),OFFSET($BN$2,0,0,ROW()-1,60),ROW()-1,FALSE))</f>
        <v>167676.889</v>
      </c>
      <c r="BH125">
        <f ca="1">IF(AND(ISNUMBER($BH$262),$B$145=1),$BH$262,HLOOKUP(INDIRECT(ADDRESS(2,COLUMN())),OFFSET($BN$2,0,0,ROW()-1,60),ROW()-1,FALSE))</f>
        <v>159309.671</v>
      </c>
      <c r="BI125">
        <f ca="1">IF(AND(ISNUMBER($BI$262),$B$145=1),$BI$262,HLOOKUP(INDIRECT(ADDRESS(2,COLUMN())),OFFSET($BN$2,0,0,ROW()-1,60),ROW()-1,FALSE))</f>
        <v>157039.11799999999</v>
      </c>
      <c r="BJ125">
        <f ca="1">IF(AND(ISNUMBER($BJ$262),$B$145=1),$BJ$262,HLOOKUP(INDIRECT(ADDRESS(2,COLUMN())),OFFSET($BN$2,0,0,ROW()-1,60),ROW()-1,FALSE))</f>
        <v>157081.39600000001</v>
      </c>
      <c r="BK125">
        <f ca="1">IF(AND(ISNUMBER($BK$262),$B$145=1),$BK$262,HLOOKUP(INDIRECT(ADDRESS(2,COLUMN())),OFFSET($BN$2,0,0,ROW()-1,60),ROW()-1,FALSE))</f>
        <v>157230.367</v>
      </c>
      <c r="BL125">
        <f ca="1">IF(AND(ISNUMBER($BL$262),$B$145=1),$BL$262,HLOOKUP(INDIRECT(ADDRESS(2,COLUMN())),OFFSET($BN$2,0,0,ROW()-1,60),ROW()-1,FALSE))</f>
        <v>155083.05799999999</v>
      </c>
      <c r="BM125" t="str">
        <f ca="1">IF(AND(ISNUMBER($BM$262),$B$145=1),$BM$262,HLOOKUP(INDIRECT(ADDRESS(2,COLUMN())),OFFSET($BN$2,0,0,ROW()-1,60),ROW()-1,FALSE))</f>
        <v/>
      </c>
      <c r="BN125">
        <f>531176</f>
        <v>531176</v>
      </c>
      <c r="BO125">
        <f>523434</f>
        <v>523434</v>
      </c>
      <c r="BP125">
        <f>519853</f>
        <v>519853</v>
      </c>
      <c r="BQ125">
        <f>534959</f>
        <v>534959</v>
      </c>
      <c r="BR125">
        <f>535367</f>
        <v>535367</v>
      </c>
      <c r="BS125">
        <f>542966</f>
        <v>542966</v>
      </c>
      <c r="BT125">
        <f>554549</f>
        <v>554549</v>
      </c>
      <c r="BU125">
        <f>574549</f>
        <v>574549</v>
      </c>
      <c r="BV125">
        <f>555255</f>
        <v>555255</v>
      </c>
      <c r="BW125">
        <f>548438</f>
        <v>548438</v>
      </c>
      <c r="BX125">
        <f>545292</f>
        <v>545292</v>
      </c>
      <c r="BY125">
        <f>543979</f>
        <v>543979</v>
      </c>
      <c r="BZ125">
        <f>541241</f>
        <v>541241</v>
      </c>
      <c r="CA125">
        <f>529884</f>
        <v>529884</v>
      </c>
      <c r="CB125">
        <f>521964</f>
        <v>521964</v>
      </c>
      <c r="CC125">
        <f>517537</f>
        <v>517537</v>
      </c>
      <c r="CD125">
        <f>509228</f>
        <v>509228</v>
      </c>
      <c r="CE125">
        <f>499183</f>
        <v>499183</v>
      </c>
      <c r="CF125">
        <f>504336</f>
        <v>504336</v>
      </c>
      <c r="CG125">
        <f>506229</f>
        <v>506229</v>
      </c>
      <c r="CH125">
        <f>473078</f>
        <v>473078</v>
      </c>
      <c r="CI125">
        <f>236750</f>
        <v>236750</v>
      </c>
      <c r="CJ125">
        <f>230872</f>
        <v>230872</v>
      </c>
      <c r="CK125">
        <f>227683</f>
        <v>227683</v>
      </c>
      <c r="CL125">
        <f>225697</f>
        <v>225697</v>
      </c>
      <c r="CM125">
        <f>222885</f>
        <v>222885</v>
      </c>
      <c r="CN125">
        <f>222681</f>
        <v>222681</v>
      </c>
      <c r="CO125">
        <f>220729</f>
        <v>220729</v>
      </c>
      <c r="CP125">
        <f>221642</f>
        <v>221642</v>
      </c>
      <c r="CQ125">
        <f>220340</f>
        <v>220340</v>
      </c>
      <c r="CR125">
        <f>221192</f>
        <v>221192</v>
      </c>
      <c r="CS125">
        <f>220500.518</f>
        <v>220500.51800000001</v>
      </c>
      <c r="CT125">
        <f>219276.323</f>
        <v>219276.323</v>
      </c>
      <c r="CU125">
        <f>222622.299</f>
        <v>222622.299</v>
      </c>
      <c r="CV125">
        <f>221858.615</f>
        <v>221858.61499999999</v>
      </c>
      <c r="CW125">
        <f>212405.266</f>
        <v>212405.266</v>
      </c>
      <c r="CX125">
        <f>209947.022</f>
        <v>209947.022</v>
      </c>
      <c r="CY125">
        <f>208808.671</f>
        <v>208808.671</v>
      </c>
      <c r="CZ125">
        <f>191017.482</f>
        <v>191017.48199999999</v>
      </c>
      <c r="DA125">
        <f>189227.838</f>
        <v>189227.83799999999</v>
      </c>
      <c r="DB125">
        <f>186813.987</f>
        <v>186813.98699999999</v>
      </c>
      <c r="DC125">
        <f>187021.509</f>
        <v>187021.50899999999</v>
      </c>
      <c r="DD125">
        <f>188012.33</f>
        <v>188012.33</v>
      </c>
      <c r="DE125">
        <f>184651.158</f>
        <v>184651.158</v>
      </c>
      <c r="DF125">
        <f>183009.992</f>
        <v>183009.992</v>
      </c>
      <c r="DG125">
        <f>181050.008</f>
        <v>181050.008</v>
      </c>
      <c r="DH125">
        <f>182735.153</f>
        <v>182735.15299999999</v>
      </c>
      <c r="DI125">
        <f>180836.757</f>
        <v>180836.75700000001</v>
      </c>
      <c r="DJ125">
        <f>183872.371</f>
        <v>183872.37100000001</v>
      </c>
      <c r="DK125">
        <f>182021.371</f>
        <v>182021.37100000001</v>
      </c>
      <c r="DL125">
        <f>178529.372</f>
        <v>178529.372</v>
      </c>
      <c r="DM125">
        <f>174751.894</f>
        <v>174751.894</v>
      </c>
      <c r="DN125">
        <f>174579.294</f>
        <v>174579.29399999999</v>
      </c>
      <c r="DO125">
        <f>167676.889</f>
        <v>167676.889</v>
      </c>
      <c r="DP125">
        <f>159309.671</f>
        <v>159309.671</v>
      </c>
      <c r="DQ125">
        <f>157039.118</f>
        <v>157039.11799999999</v>
      </c>
      <c r="DR125">
        <f>157081.396</f>
        <v>157081.39600000001</v>
      </c>
      <c r="DS125">
        <f>157230.367</f>
        <v>157230.367</v>
      </c>
      <c r="DT125">
        <f>155083.058</f>
        <v>155083.05799999999</v>
      </c>
      <c r="DU125" t="str">
        <f>""</f>
        <v/>
      </c>
    </row>
    <row r="126" spans="1:125" x14ac:dyDescent="0.25">
      <c r="A126" t="str">
        <f>"            US Bancorp"</f>
        <v xml:space="preserve">            US Bancorp</v>
      </c>
      <c r="B126" t="str">
        <f>"USB US Equity"</f>
        <v>USB US Equity</v>
      </c>
      <c r="C126" t="str">
        <f t="shared" si="16"/>
        <v>FC001</v>
      </c>
      <c r="D126" t="str">
        <f t="shared" si="17"/>
        <v>FDIC_TOTAL_ASSETS</v>
      </c>
      <c r="E126" t="str">
        <f t="shared" si="18"/>
        <v>Dynamic</v>
      </c>
      <c r="F126">
        <f ca="1">IF(AND(ISNUMBER($F$263),$B$145=1),$F$263,HLOOKUP(INDIRECT(ADDRESS(2,COLUMN())),OFFSET($BN$2,0,0,ROW()-1,60),ROW()-1,FALSE))</f>
        <v>678318</v>
      </c>
      <c r="G126">
        <f ca="1">IF(AND(ISNUMBER($G$263),$B$145=1),$G$263,HLOOKUP(INDIRECT(ADDRESS(2,COLUMN())),OFFSET($BN$2,0,0,ROW()-1,60),ROW()-1,FALSE))</f>
        <v>686469</v>
      </c>
      <c r="H126">
        <f ca="1">IF(AND(ISNUMBER($H$263),$B$145=1),$H$263,HLOOKUP(INDIRECT(ADDRESS(2,COLUMN())),OFFSET($BN$2,0,0,ROW()-1,60),ROW()-1,FALSE))</f>
        <v>680058</v>
      </c>
      <c r="I126">
        <f ca="1">IF(AND(ISNUMBER($I$263),$B$145=1),$I$263,HLOOKUP(INDIRECT(ADDRESS(2,COLUMN())),OFFSET($BN$2,0,0,ROW()-1,60),ROW()-1,FALSE))</f>
        <v>683606</v>
      </c>
      <c r="J126">
        <f ca="1">IF(AND(ISNUMBER($J$263),$B$145=1),$J$263,HLOOKUP(INDIRECT(ADDRESS(2,COLUMN())),OFFSET($BN$2,0,0,ROW()-1,60),ROW()-1,FALSE))</f>
        <v>663491</v>
      </c>
      <c r="K126">
        <f ca="1">IF(AND(ISNUMBER($K$263),$B$145=1),$K$263,HLOOKUP(INDIRECT(ADDRESS(2,COLUMN())),OFFSET($BN$2,0,0,ROW()-1,60),ROW()-1,FALSE))</f>
        <v>668039</v>
      </c>
      <c r="L126">
        <f ca="1">IF(AND(ISNUMBER($L$263),$B$145=1),$L$263,HLOOKUP(INDIRECT(ADDRESS(2,COLUMN())),OFFSET($BN$2,0,0,ROW()-1,60),ROW()-1,FALSE))</f>
        <v>680825</v>
      </c>
      <c r="M126">
        <f ca="1">IF(AND(ISNUMBER($M$263),$B$145=1),$M$263,HLOOKUP(INDIRECT(ADDRESS(2,COLUMN())),OFFSET($BN$2,0,0,ROW()-1,60),ROW()-1,FALSE))</f>
        <v>682377</v>
      </c>
      <c r="N126">
        <f ca="1">IF(AND(ISNUMBER($N$263),$B$145=1),$N$263,HLOOKUP(INDIRECT(ADDRESS(2,COLUMN())),OFFSET($BN$2,0,0,ROW()-1,60),ROW()-1,FALSE))</f>
        <v>674805</v>
      </c>
      <c r="O126">
        <f ca="1">IF(AND(ISNUMBER($O$263),$B$145=1),$O$263,HLOOKUP(INDIRECT(ADDRESS(2,COLUMN())),OFFSET($BN$2,0,0,ROW()-1,60),ROW()-1,FALSE))</f>
        <v>600973</v>
      </c>
      <c r="P126">
        <f ca="1">IF(AND(ISNUMBER($P$263),$B$145=1),$P$263,HLOOKUP(INDIRECT(ADDRESS(2,COLUMN())),OFFSET($BN$2,0,0,ROW()-1,60),ROW()-1,FALSE))</f>
        <v>591381</v>
      </c>
      <c r="Q126">
        <f ca="1">IF(AND(ISNUMBER($Q$263),$B$145=1),$Q$263,HLOOKUP(INDIRECT(ADDRESS(2,COLUMN())),OFFSET($BN$2,0,0,ROW()-1,60),ROW()-1,FALSE))</f>
        <v>586517</v>
      </c>
      <c r="R126">
        <f ca="1">IF(AND(ISNUMBER($R$263),$B$145=1),$R$263,HLOOKUP(INDIRECT(ADDRESS(2,COLUMN())),OFFSET($BN$2,0,0,ROW()-1,60),ROW()-1,FALSE))</f>
        <v>573284</v>
      </c>
      <c r="S126">
        <f ca="1">IF(AND(ISNUMBER($S$263),$B$145=1),$S$263,HLOOKUP(INDIRECT(ADDRESS(2,COLUMN())),OFFSET($BN$2,0,0,ROW()-1,60),ROW()-1,FALSE))</f>
        <v>567495</v>
      </c>
      <c r="T126">
        <f ca="1">IF(AND(ISNUMBER($T$263),$B$145=1),$T$263,HLOOKUP(INDIRECT(ADDRESS(2,COLUMN())),OFFSET($BN$2,0,0,ROW()-1,60),ROW()-1,FALSE))</f>
        <v>558886</v>
      </c>
      <c r="U126">
        <f ca="1">IF(AND(ISNUMBER($U$263),$B$145=1),$U$263,HLOOKUP(INDIRECT(ADDRESS(2,COLUMN())),OFFSET($BN$2,0,0,ROW()-1,60),ROW()-1,FALSE))</f>
        <v>553375</v>
      </c>
      <c r="V126">
        <f ca="1">IF(AND(ISNUMBER($V$263),$B$145=1),$V$263,HLOOKUP(INDIRECT(ADDRESS(2,COLUMN())),OFFSET($BN$2,0,0,ROW()-1,60),ROW()-1,FALSE))</f>
        <v>553905</v>
      </c>
      <c r="W126">
        <f ca="1">IF(AND(ISNUMBER($W$263),$B$145=1),$W$263,HLOOKUP(INDIRECT(ADDRESS(2,COLUMN())),OFFSET($BN$2,0,0,ROW()-1,60),ROW()-1,FALSE))</f>
        <v>540455</v>
      </c>
      <c r="X126">
        <f ca="1">IF(AND(ISNUMBER($X$263),$B$145=1),$X$263,HLOOKUP(INDIRECT(ADDRESS(2,COLUMN())),OFFSET($BN$2,0,0,ROW()-1,60),ROW()-1,FALSE))</f>
        <v>546652</v>
      </c>
      <c r="Y126">
        <f ca="1">IF(AND(ISNUMBER($Y$263),$B$145=1),$Y$263,HLOOKUP(INDIRECT(ADDRESS(2,COLUMN())),OFFSET($BN$2,0,0,ROW()-1,60),ROW()-1,FALSE))</f>
        <v>542909</v>
      </c>
      <c r="Z126">
        <f ca="1">IF(AND(ISNUMBER($Z$263),$B$145=1),$Z$263,HLOOKUP(INDIRECT(ADDRESS(2,COLUMN())),OFFSET($BN$2,0,0,ROW()-1,60),ROW()-1,FALSE))</f>
        <v>495426</v>
      </c>
      <c r="AA126">
        <f ca="1">IF(AND(ISNUMBER($AA$263),$B$145=1),$AA$263,HLOOKUP(INDIRECT(ADDRESS(2,COLUMN())),OFFSET($BN$2,0,0,ROW()-1,60),ROW()-1,FALSE))</f>
        <v>487671</v>
      </c>
      <c r="AB126">
        <f ca="1">IF(AND(ISNUMBER($AB$263),$B$145=1),$AB$263,HLOOKUP(INDIRECT(ADDRESS(2,COLUMN())),OFFSET($BN$2,0,0,ROW()-1,60),ROW()-1,FALSE))</f>
        <v>481719</v>
      </c>
      <c r="AC126">
        <f ca="1">IF(AND(ISNUMBER($AC$263),$B$145=1),$AC$263,HLOOKUP(INDIRECT(ADDRESS(2,COLUMN())),OFFSET($BN$2,0,0,ROW()-1,60),ROW()-1,FALSE))</f>
        <v>475775</v>
      </c>
      <c r="AD126">
        <f ca="1">IF(AND(ISNUMBER($AD$263),$B$145=1),$AD$263,HLOOKUP(INDIRECT(ADDRESS(2,COLUMN())),OFFSET($BN$2,0,0,ROW()-1,60),ROW()-1,FALSE))</f>
        <v>467374</v>
      </c>
      <c r="AE126">
        <f ca="1">IF(AND(ISNUMBER($AE$263),$B$145=1),$AE$263,HLOOKUP(INDIRECT(ADDRESS(2,COLUMN())),OFFSET($BN$2,0,0,ROW()-1,60),ROW()-1,FALSE))</f>
        <v>464607</v>
      </c>
      <c r="AF126">
        <f ca="1">IF(AND(ISNUMBER($AF$263),$B$145=1),$AF$263,HLOOKUP(INDIRECT(ADDRESS(2,COLUMN())),OFFSET($BN$2,0,0,ROW()-1,60),ROW()-1,FALSE))</f>
        <v>461329</v>
      </c>
      <c r="AG126">
        <f ca="1">IF(AND(ISNUMBER($AG$263),$B$145=1),$AG$263,HLOOKUP(INDIRECT(ADDRESS(2,COLUMN())),OFFSET($BN$2,0,0,ROW()-1,60),ROW()-1,FALSE))</f>
        <v>460119</v>
      </c>
      <c r="AH126">
        <f ca="1">IF(AND(ISNUMBER($AH$263),$B$145=1),$AH$263,HLOOKUP(INDIRECT(ADDRESS(2,COLUMN())),OFFSET($BN$2,0,0,ROW()-1,60),ROW()-1,FALSE))</f>
        <v>462040</v>
      </c>
      <c r="AI126">
        <f ca="1">IF(AND(ISNUMBER($AI$263),$B$145=1),$AI$263,HLOOKUP(INDIRECT(ADDRESS(2,COLUMN())),OFFSET($BN$2,0,0,ROW()-1,60),ROW()-1,FALSE))</f>
        <v>459227</v>
      </c>
      <c r="AJ126">
        <f ca="1">IF(AND(ISNUMBER($AJ$263),$B$145=1),$AJ$263,HLOOKUP(INDIRECT(ADDRESS(2,COLUMN())),OFFSET($BN$2,0,0,ROW()-1,60),ROW()-1,FALSE))</f>
        <v>463844</v>
      </c>
      <c r="AK126">
        <f ca="1">IF(AND(ISNUMBER($AK$263),$B$145=1),$AK$263,HLOOKUP(INDIRECT(ADDRESS(2,COLUMN())),OFFSET($BN$2,0,0,ROW()-1,60),ROW()-1,FALSE))</f>
        <v>449522</v>
      </c>
      <c r="AL126">
        <f ca="1">IF(AND(ISNUMBER($AL$263),$B$145=1),$AL$263,HLOOKUP(INDIRECT(ADDRESS(2,COLUMN())),OFFSET($BN$2,0,0,ROW()-1,60),ROW()-1,FALSE))</f>
        <v>445964</v>
      </c>
      <c r="AM126">
        <f ca="1">IF(AND(ISNUMBER($AM$263),$B$145=1),$AM$263,HLOOKUP(INDIRECT(ADDRESS(2,COLUMN())),OFFSET($BN$2,0,0,ROW()-1,60),ROW()-1,FALSE))</f>
        <v>454134</v>
      </c>
      <c r="AN126">
        <f ca="1">IF(AND(ISNUMBER($AN$263),$B$145=1),$AN$263,HLOOKUP(INDIRECT(ADDRESS(2,COLUMN())),OFFSET($BN$2,0,0,ROW()-1,60),ROW()-1,FALSE))</f>
        <v>438463</v>
      </c>
      <c r="AO126">
        <f ca="1">IF(AND(ISNUMBER($AO$263),$B$145=1),$AO$263,HLOOKUP(INDIRECT(ADDRESS(2,COLUMN())),OFFSET($BN$2,0,0,ROW()-1,60),ROW()-1,FALSE))</f>
        <v>428638</v>
      </c>
      <c r="AP126">
        <f ca="1">IF(AND(ISNUMBER($AP$263),$B$145=1),$AP$263,HLOOKUP(INDIRECT(ADDRESS(2,COLUMN())),OFFSET($BN$2,0,0,ROW()-1,60),ROW()-1,FALSE))</f>
        <v>421853</v>
      </c>
      <c r="AQ126">
        <f ca="1">IF(AND(ISNUMBER($AQ$263),$B$145=1),$AQ$263,HLOOKUP(INDIRECT(ADDRESS(2,COLUMN())),OFFSET($BN$2,0,0,ROW()-1,60),ROW()-1,FALSE))</f>
        <v>415943</v>
      </c>
      <c r="AR126">
        <f ca="1">IF(AND(ISNUMBER($AR$263),$B$145=1),$AR$263,HLOOKUP(INDIRECT(ADDRESS(2,COLUMN())),OFFSET($BN$2,0,0,ROW()-1,60),ROW()-1,FALSE))</f>
        <v>419075</v>
      </c>
      <c r="AS126">
        <f ca="1">IF(AND(ISNUMBER($AS$263),$B$145=1),$AS$263,HLOOKUP(INDIRECT(ADDRESS(2,COLUMN())),OFFSET($BN$2,0,0,ROW()-1,60),ROW()-1,FALSE))</f>
        <v>410233</v>
      </c>
      <c r="AT126">
        <f ca="1">IF(AND(ISNUMBER($AT$263),$B$145=1),$AT$263,HLOOKUP(INDIRECT(ADDRESS(2,COLUMN())),OFFSET($BN$2,0,0,ROW()-1,60),ROW()-1,FALSE))</f>
        <v>402529</v>
      </c>
      <c r="AU126">
        <f ca="1">IF(AND(ISNUMBER($AU$263),$B$145=1),$AU$263,HLOOKUP(INDIRECT(ADDRESS(2,COLUMN())),OFFSET($BN$2,0,0,ROW()-1,60),ROW()-1,FALSE))</f>
        <v>391284</v>
      </c>
      <c r="AV126">
        <f ca="1">IF(AND(ISNUMBER($AV$263),$B$145=1),$AV$263,HLOOKUP(INDIRECT(ADDRESS(2,COLUMN())),OFFSET($BN$2,0,0,ROW()-1,60),ROW()-1,FALSE))</f>
        <v>389065</v>
      </c>
      <c r="AW126">
        <f ca="1">IF(AND(ISNUMBER($AW$263),$B$145=1),$AW$263,HLOOKUP(INDIRECT(ADDRESS(2,COLUMN())),OFFSET($BN$2,0,0,ROW()-1,60),ROW()-1,FALSE))</f>
        <v>371289</v>
      </c>
      <c r="AX126">
        <f ca="1">IF(AND(ISNUMBER($AX$263),$B$145=1),$AX$263,HLOOKUP(INDIRECT(ADDRESS(2,COLUMN())),OFFSET($BN$2,0,0,ROW()-1,60),ROW()-1,FALSE))</f>
        <v>364021</v>
      </c>
      <c r="AY126">
        <f ca="1">IF(AND(ISNUMBER($AY$263),$B$145=1),$AY$263,HLOOKUP(INDIRECT(ADDRESS(2,COLUMN())),OFFSET($BN$2,0,0,ROW()-1,60),ROW()-1,FALSE))</f>
        <v>360681</v>
      </c>
      <c r="AZ126">
        <f ca="1">IF(AND(ISNUMBER($AZ$263),$B$145=1),$AZ$263,HLOOKUP(INDIRECT(ADDRESS(2,COLUMN())),OFFSET($BN$2,0,0,ROW()-1,60),ROW()-1,FALSE))</f>
        <v>353415</v>
      </c>
      <c r="BA126">
        <f ca="1">IF(AND(ISNUMBER($BA$263),$B$145=1),$BA$263,HLOOKUP(INDIRECT(ADDRESS(2,COLUMN())),OFFSET($BN$2,0,0,ROW()-1,60),ROW()-1,FALSE))</f>
        <v>355447</v>
      </c>
      <c r="BB126">
        <f ca="1">IF(AND(ISNUMBER($BB$263),$B$145=1),$BB$263,HLOOKUP(INDIRECT(ADDRESS(2,COLUMN())),OFFSET($BN$2,0,0,ROW()-1,60),ROW()-1,FALSE))</f>
        <v>353855</v>
      </c>
      <c r="BC126">
        <f ca="1">IF(AND(ISNUMBER($BC$263),$B$145=1),$BC$263,HLOOKUP(INDIRECT(ADDRESS(2,COLUMN())),OFFSET($BN$2,0,0,ROW()-1,60),ROW()-1,FALSE))</f>
        <v>352253</v>
      </c>
      <c r="BD126">
        <f ca="1">IF(AND(ISNUMBER($BD$263),$B$145=1),$BD$263,HLOOKUP(INDIRECT(ADDRESS(2,COLUMN())),OFFSET($BN$2,0,0,ROW()-1,60),ROW()-1,FALSE))</f>
        <v>353136</v>
      </c>
      <c r="BE126">
        <f ca="1">IF(AND(ISNUMBER($BE$263),$B$145=1),$BE$263,HLOOKUP(INDIRECT(ADDRESS(2,COLUMN())),OFFSET($BN$2,0,0,ROW()-1,60),ROW()-1,FALSE))</f>
        <v>340762</v>
      </c>
      <c r="BF126">
        <f ca="1">IF(AND(ISNUMBER($BF$263),$B$145=1),$BF$263,HLOOKUP(INDIRECT(ADDRESS(2,COLUMN())),OFFSET($BN$2,0,0,ROW()-1,60),ROW()-1,FALSE))</f>
        <v>340122</v>
      </c>
      <c r="BG126">
        <f ca="1">IF(AND(ISNUMBER($BG$263),$B$145=1),$BG$263,HLOOKUP(INDIRECT(ADDRESS(2,COLUMN())),OFFSET($BN$2,0,0,ROW()-1,60),ROW()-1,FALSE))</f>
        <v>330141</v>
      </c>
      <c r="BH126">
        <f ca="1">IF(AND(ISNUMBER($BH$263),$B$145=1),$BH$263,HLOOKUP(INDIRECT(ADDRESS(2,COLUMN())),OFFSET($BN$2,0,0,ROW()-1,60),ROW()-1,FALSE))</f>
        <v>320874</v>
      </c>
      <c r="BI126">
        <f ca="1">IF(AND(ISNUMBER($BI$263),$B$145=1),$BI$263,HLOOKUP(INDIRECT(ADDRESS(2,COLUMN())),OFFSET($BN$2,0,0,ROW()-1,60),ROW()-1,FALSE))</f>
        <v>311462</v>
      </c>
      <c r="BJ126">
        <f ca="1">IF(AND(ISNUMBER($BJ$263),$B$145=1),$BJ$263,HLOOKUP(INDIRECT(ADDRESS(2,COLUMN())),OFFSET($BN$2,0,0,ROW()-1,60),ROW()-1,FALSE))</f>
        <v>307786</v>
      </c>
      <c r="BK126">
        <f ca="1">IF(AND(ISNUMBER($BK$263),$B$145=1),$BK$263,HLOOKUP(INDIRECT(ADDRESS(2,COLUMN())),OFFSET($BN$2,0,0,ROW()-1,60),ROW()-1,FALSE))</f>
        <v>290654</v>
      </c>
      <c r="BL126">
        <f ca="1">IF(AND(ISNUMBER($BL$263),$B$145=1),$BL$263,HLOOKUP(INDIRECT(ADDRESS(2,COLUMN())),OFFSET($BN$2,0,0,ROW()-1,60),ROW()-1,FALSE))</f>
        <v>283243</v>
      </c>
      <c r="BM126" t="str">
        <f ca="1">IF(AND(ISNUMBER($BM$263),$B$145=1),$BM$263,HLOOKUP(INDIRECT(ADDRESS(2,COLUMN())),OFFSET($BN$2,0,0,ROW()-1,60),ROW()-1,FALSE))</f>
        <v/>
      </c>
      <c r="BN126">
        <f>678318</f>
        <v>678318</v>
      </c>
      <c r="BO126">
        <f>686469</f>
        <v>686469</v>
      </c>
      <c r="BP126">
        <f>680058</f>
        <v>680058</v>
      </c>
      <c r="BQ126">
        <f>683606</f>
        <v>683606</v>
      </c>
      <c r="BR126">
        <f>663491</f>
        <v>663491</v>
      </c>
      <c r="BS126">
        <f>668039</f>
        <v>668039</v>
      </c>
      <c r="BT126">
        <f>680825</f>
        <v>680825</v>
      </c>
      <c r="BU126">
        <f>682377</f>
        <v>682377</v>
      </c>
      <c r="BV126">
        <f>674805</f>
        <v>674805</v>
      </c>
      <c r="BW126">
        <f>600973</f>
        <v>600973</v>
      </c>
      <c r="BX126">
        <f>591381</f>
        <v>591381</v>
      </c>
      <c r="BY126">
        <f>586517</f>
        <v>586517</v>
      </c>
      <c r="BZ126">
        <f>573284</f>
        <v>573284</v>
      </c>
      <c r="CA126">
        <f>567495</f>
        <v>567495</v>
      </c>
      <c r="CB126">
        <f>558886</f>
        <v>558886</v>
      </c>
      <c r="CC126">
        <f>553375</f>
        <v>553375</v>
      </c>
      <c r="CD126">
        <f>553905</f>
        <v>553905</v>
      </c>
      <c r="CE126">
        <f>540455</f>
        <v>540455</v>
      </c>
      <c r="CF126">
        <f>546652</f>
        <v>546652</v>
      </c>
      <c r="CG126">
        <f>542909</f>
        <v>542909</v>
      </c>
      <c r="CH126">
        <f>495426</f>
        <v>495426</v>
      </c>
      <c r="CI126">
        <f>487671</f>
        <v>487671</v>
      </c>
      <c r="CJ126">
        <f>481719</f>
        <v>481719</v>
      </c>
      <c r="CK126">
        <f>475775</f>
        <v>475775</v>
      </c>
      <c r="CL126">
        <f>467374</f>
        <v>467374</v>
      </c>
      <c r="CM126">
        <f>464607</f>
        <v>464607</v>
      </c>
      <c r="CN126">
        <f>461329</f>
        <v>461329</v>
      </c>
      <c r="CO126">
        <f>460119</f>
        <v>460119</v>
      </c>
      <c r="CP126">
        <f>462040</f>
        <v>462040</v>
      </c>
      <c r="CQ126">
        <f>459227</f>
        <v>459227</v>
      </c>
      <c r="CR126">
        <f>463844</f>
        <v>463844</v>
      </c>
      <c r="CS126">
        <f>449522</f>
        <v>449522</v>
      </c>
      <c r="CT126">
        <f>445964</f>
        <v>445964</v>
      </c>
      <c r="CU126">
        <f>454134</f>
        <v>454134</v>
      </c>
      <c r="CV126">
        <f>438463</f>
        <v>438463</v>
      </c>
      <c r="CW126">
        <f>428638</f>
        <v>428638</v>
      </c>
      <c r="CX126">
        <f>421853</f>
        <v>421853</v>
      </c>
      <c r="CY126">
        <f>415943</f>
        <v>415943</v>
      </c>
      <c r="CZ126">
        <f>419075</f>
        <v>419075</v>
      </c>
      <c r="DA126">
        <f>410233</f>
        <v>410233</v>
      </c>
      <c r="DB126">
        <f>402529</f>
        <v>402529</v>
      </c>
      <c r="DC126">
        <f>391284</f>
        <v>391284</v>
      </c>
      <c r="DD126">
        <f>389065</f>
        <v>389065</v>
      </c>
      <c r="DE126">
        <f>371289</f>
        <v>371289</v>
      </c>
      <c r="DF126">
        <f>364021</f>
        <v>364021</v>
      </c>
      <c r="DG126">
        <f>360681</f>
        <v>360681</v>
      </c>
      <c r="DH126">
        <f>353415</f>
        <v>353415</v>
      </c>
      <c r="DI126">
        <f>355447</f>
        <v>355447</v>
      </c>
      <c r="DJ126">
        <f>353855</f>
        <v>353855</v>
      </c>
      <c r="DK126">
        <f>352253</f>
        <v>352253</v>
      </c>
      <c r="DL126">
        <f>353136</f>
        <v>353136</v>
      </c>
      <c r="DM126">
        <f>340762</f>
        <v>340762</v>
      </c>
      <c r="DN126">
        <f>340122</f>
        <v>340122</v>
      </c>
      <c r="DO126">
        <f>330141</f>
        <v>330141</v>
      </c>
      <c r="DP126">
        <f>320874</f>
        <v>320874</v>
      </c>
      <c r="DQ126">
        <f>311462</f>
        <v>311462</v>
      </c>
      <c r="DR126">
        <f>307786</f>
        <v>307786</v>
      </c>
      <c r="DS126">
        <f>290654</f>
        <v>290654</v>
      </c>
      <c r="DT126">
        <f>283243</f>
        <v>283243</v>
      </c>
      <c r="DU126" t="str">
        <f>""</f>
        <v/>
      </c>
    </row>
    <row r="127" spans="1:125" x14ac:dyDescent="0.25">
      <c r="A127" t="str">
        <f>"            Wells Fargo &amp; Co"</f>
        <v xml:space="preserve">            Wells Fargo &amp; Co</v>
      </c>
      <c r="B127" t="str">
        <f>"WFC US Equity"</f>
        <v>WFC US Equity</v>
      </c>
      <c r="C127" t="str">
        <f t="shared" si="16"/>
        <v>FC001</v>
      </c>
      <c r="D127" t="str">
        <f t="shared" si="17"/>
        <v>FDIC_TOTAL_ASSETS</v>
      </c>
      <c r="E127" t="str">
        <f t="shared" si="18"/>
        <v>Dynamic</v>
      </c>
      <c r="F127">
        <f ca="1">IF(AND(ISNUMBER($F$264),$B$145=1),$F$264,HLOOKUP(INDIRECT(ADDRESS(2,COLUMN())),OFFSET($BN$2,0,0,ROW()-1,60),ROW()-1,FALSE))</f>
        <v>1929845</v>
      </c>
      <c r="G127">
        <f ca="1">IF(AND(ISNUMBER($G$264),$B$145=1),$G$264,HLOOKUP(INDIRECT(ADDRESS(2,COLUMN())),OFFSET($BN$2,0,0,ROW()-1,60),ROW()-1,FALSE))</f>
        <v>1922125</v>
      </c>
      <c r="H127">
        <f ca="1">IF(AND(ISNUMBER($H$264),$B$145=1),$H$264,HLOOKUP(INDIRECT(ADDRESS(2,COLUMN())),OFFSET($BN$2,0,0,ROW()-1,60),ROW()-1,FALSE))</f>
        <v>1940074</v>
      </c>
      <c r="I127">
        <f ca="1">IF(AND(ISNUMBER($I$264),$B$145=1),$I$264,HLOOKUP(INDIRECT(ADDRESS(2,COLUMN())),OFFSET($BN$2,0,0,ROW()-1,60),ROW()-1,FALSE))</f>
        <v>1959160</v>
      </c>
      <c r="J127">
        <f ca="1">IF(AND(ISNUMBER($J$264),$B$145=1),$J$264,HLOOKUP(INDIRECT(ADDRESS(2,COLUMN())),OFFSET($BN$2,0,0,ROW()-1,60),ROW()-1,FALSE))</f>
        <v>1932472</v>
      </c>
      <c r="K127">
        <f ca="1">IF(AND(ISNUMBER($K$264),$B$145=1),$K$264,HLOOKUP(INDIRECT(ADDRESS(2,COLUMN())),OFFSET($BN$2,0,0,ROW()-1,60),ROW()-1,FALSE))</f>
        <v>1909261</v>
      </c>
      <c r="L127">
        <f ca="1">IF(AND(ISNUMBER($L$264),$B$145=1),$L$264,HLOOKUP(INDIRECT(ADDRESS(2,COLUMN())),OFFSET($BN$2,0,0,ROW()-1,60),ROW()-1,FALSE))</f>
        <v>1876322</v>
      </c>
      <c r="M127">
        <f ca="1">IF(AND(ISNUMBER($M$264),$B$145=1),$M$264,HLOOKUP(INDIRECT(ADDRESS(2,COLUMN())),OFFSET($BN$2,0,0,ROW()-1,60),ROW()-1,FALSE))</f>
        <v>1886400</v>
      </c>
      <c r="N127">
        <f ca="1">IF(AND(ISNUMBER($N$264),$B$145=1),$N$264,HLOOKUP(INDIRECT(ADDRESS(2,COLUMN())),OFFSET($BN$2,0,0,ROW()-1,60),ROW()-1,FALSE))</f>
        <v>1881016</v>
      </c>
      <c r="O127">
        <f ca="1">IF(AND(ISNUMBER($O$264),$B$145=1),$O$264,HLOOKUP(INDIRECT(ADDRESS(2,COLUMN())),OFFSET($BN$2,0,0,ROW()-1,60),ROW()-1,FALSE))</f>
        <v>1877745</v>
      </c>
      <c r="P127">
        <f ca="1">IF(AND(ISNUMBER($P$264),$B$145=1),$P$264,HLOOKUP(INDIRECT(ADDRESS(2,COLUMN())),OFFSET($BN$2,0,0,ROW()-1,60),ROW()-1,FALSE))</f>
        <v>1881142</v>
      </c>
      <c r="Q127">
        <f ca="1">IF(AND(ISNUMBER($Q$264),$B$145=1),$Q$264,HLOOKUP(INDIRECT(ADDRESS(2,COLUMN())),OFFSET($BN$2,0,0,ROW()-1,60),ROW()-1,FALSE))</f>
        <v>1939709</v>
      </c>
      <c r="R127">
        <f ca="1">IF(AND(ISNUMBER($R$264),$B$145=1),$R$264,HLOOKUP(INDIRECT(ADDRESS(2,COLUMN())),OFFSET($BN$2,0,0,ROW()-1,60),ROW()-1,FALSE))</f>
        <v>1948068</v>
      </c>
      <c r="S127">
        <f ca="1">IF(AND(ISNUMBER($S$264),$B$145=1),$S$264,HLOOKUP(INDIRECT(ADDRESS(2,COLUMN())),OFFSET($BN$2,0,0,ROW()-1,60),ROW()-1,FALSE))</f>
        <v>1954901</v>
      </c>
      <c r="T127">
        <f ca="1">IF(AND(ISNUMBER($T$264),$B$145=1),$T$264,HLOOKUP(INDIRECT(ADDRESS(2,COLUMN())),OFFSET($BN$2,0,0,ROW()-1,60),ROW()-1,FALSE))</f>
        <v>1945996</v>
      </c>
      <c r="U127">
        <f ca="1">IF(AND(ISNUMBER($U$264),$B$145=1),$U$264,HLOOKUP(INDIRECT(ADDRESS(2,COLUMN())),OFFSET($BN$2,0,0,ROW()-1,60),ROW()-1,FALSE))</f>
        <v>1959543</v>
      </c>
      <c r="V127">
        <f ca="1">IF(AND(ISNUMBER($V$264),$B$145=1),$V$264,HLOOKUP(INDIRECT(ADDRESS(2,COLUMN())),OFFSET($BN$2,0,0,ROW()-1,60),ROW()-1,FALSE))</f>
        <v>1955163</v>
      </c>
      <c r="W127">
        <f ca="1">IF(AND(ISNUMBER($W$264),$B$145=1),$W$264,HLOOKUP(INDIRECT(ADDRESS(2,COLUMN())),OFFSET($BN$2,0,0,ROW()-1,60),ROW()-1,FALSE))</f>
        <v>1922220</v>
      </c>
      <c r="X127">
        <f ca="1">IF(AND(ISNUMBER($X$264),$B$145=1),$X$264,HLOOKUP(INDIRECT(ADDRESS(2,COLUMN())),OFFSET($BN$2,0,0,ROW()-1,60),ROW()-1,FALSE))</f>
        <v>1968766</v>
      </c>
      <c r="Y127">
        <f ca="1">IF(AND(ISNUMBER($Y$264),$B$145=1),$Y$264,HLOOKUP(INDIRECT(ADDRESS(2,COLUMN())),OFFSET($BN$2,0,0,ROW()-1,60),ROW()-1,FALSE))</f>
        <v>1981349</v>
      </c>
      <c r="Z127">
        <f ca="1">IF(AND(ISNUMBER($Z$264),$B$145=1),$Z$264,HLOOKUP(INDIRECT(ADDRESS(2,COLUMN())),OFFSET($BN$2,0,0,ROW()-1,60),ROW()-1,FALSE))</f>
        <v>1927555</v>
      </c>
      <c r="AA127">
        <f ca="1">IF(AND(ISNUMBER($AA$264),$B$145=1),$AA$264,HLOOKUP(INDIRECT(ADDRESS(2,COLUMN())),OFFSET($BN$2,0,0,ROW()-1,60),ROW()-1,FALSE))</f>
        <v>1943950</v>
      </c>
      <c r="AB127">
        <f ca="1">IF(AND(ISNUMBER($AB$264),$B$145=1),$AB$264,HLOOKUP(INDIRECT(ADDRESS(2,COLUMN())),OFFSET($BN$2,0,0,ROW()-1,60),ROW()-1,FALSE))</f>
        <v>1923388</v>
      </c>
      <c r="AC127">
        <f ca="1">IF(AND(ISNUMBER($AC$264),$B$145=1),$AC$264,HLOOKUP(INDIRECT(ADDRESS(2,COLUMN())),OFFSET($BN$2,0,0,ROW()-1,60),ROW()-1,FALSE))</f>
        <v>1887792</v>
      </c>
      <c r="AD127">
        <f ca="1">IF(AND(ISNUMBER($AD$264),$B$145=1),$AD$264,HLOOKUP(INDIRECT(ADDRESS(2,COLUMN())),OFFSET($BN$2,0,0,ROW()-1,60),ROW()-1,FALSE))</f>
        <v>1895883</v>
      </c>
      <c r="AE127">
        <f ca="1">IF(AND(ISNUMBER($AE$264),$B$145=1),$AE$264,HLOOKUP(INDIRECT(ADDRESS(2,COLUMN())),OFFSET($BN$2,0,0,ROW()-1,60),ROW()-1,FALSE))</f>
        <v>1872981</v>
      </c>
      <c r="AF127">
        <f ca="1">IF(AND(ISNUMBER($AF$264),$B$145=1),$AF$264,HLOOKUP(INDIRECT(ADDRESS(2,COLUMN())),OFFSET($BN$2,0,0,ROW()-1,60),ROW()-1,FALSE))</f>
        <v>1879700</v>
      </c>
      <c r="AG127">
        <f ca="1">IF(AND(ISNUMBER($AG$264),$B$145=1),$AG$264,HLOOKUP(INDIRECT(ADDRESS(2,COLUMN())),OFFSET($BN$2,0,0,ROW()-1,60),ROW()-1,FALSE))</f>
        <v>1915388</v>
      </c>
      <c r="AH127">
        <f ca="1">IF(AND(ISNUMBER($AH$264),$B$145=1),$AH$264,HLOOKUP(INDIRECT(ADDRESS(2,COLUMN())),OFFSET($BN$2,0,0,ROW()-1,60),ROW()-1,FALSE))</f>
        <v>1951757</v>
      </c>
      <c r="AI127">
        <f ca="1">IF(AND(ISNUMBER($AI$264),$B$145=1),$AI$264,HLOOKUP(INDIRECT(ADDRESS(2,COLUMN())),OFFSET($BN$2,0,0,ROW()-1,60),ROW()-1,FALSE))</f>
        <v>1934939</v>
      </c>
      <c r="AJ127">
        <f ca="1">IF(AND(ISNUMBER($AJ$264),$B$145=1),$AJ$264,HLOOKUP(INDIRECT(ADDRESS(2,COLUMN())),OFFSET($BN$2,0,0,ROW()-1,60),ROW()-1,FALSE))</f>
        <v>1930871</v>
      </c>
      <c r="AK127">
        <f ca="1">IF(AND(ISNUMBER($AK$264),$B$145=1),$AK$264,HLOOKUP(INDIRECT(ADDRESS(2,COLUMN())),OFFSET($BN$2,0,0,ROW()-1,60),ROW()-1,FALSE))</f>
        <v>1951564</v>
      </c>
      <c r="AL127">
        <f ca="1">IF(AND(ISNUMBER($AL$264),$B$145=1),$AL$264,HLOOKUP(INDIRECT(ADDRESS(2,COLUMN())),OFFSET($BN$2,0,0,ROW()-1,60),ROW()-1,FALSE))</f>
        <v>1930115</v>
      </c>
      <c r="AM127">
        <f ca="1">IF(AND(ISNUMBER($AM$264),$B$145=1),$AM$264,HLOOKUP(INDIRECT(ADDRESS(2,COLUMN())),OFFSET($BN$2,0,0,ROW()-1,60),ROW()-1,FALSE))</f>
        <v>1942124</v>
      </c>
      <c r="AN127">
        <f ca="1">IF(AND(ISNUMBER($AN$264),$B$145=1),$AN$264,HLOOKUP(INDIRECT(ADDRESS(2,COLUMN())),OFFSET($BN$2,0,0,ROW()-1,60),ROW()-1,FALSE))</f>
        <v>1889235</v>
      </c>
      <c r="AO127">
        <f ca="1">IF(AND(ISNUMBER($AO$264),$B$145=1),$AO$264,HLOOKUP(INDIRECT(ADDRESS(2,COLUMN())),OFFSET($BN$2,0,0,ROW()-1,60),ROW()-1,FALSE))</f>
        <v>1849182</v>
      </c>
      <c r="AP127">
        <f ca="1">IF(AND(ISNUMBER($AP$264),$B$145=1),$AP$264,HLOOKUP(INDIRECT(ADDRESS(2,COLUMN())),OFFSET($BN$2,0,0,ROW()-1,60),ROW()-1,FALSE))</f>
        <v>1787632</v>
      </c>
      <c r="AQ127">
        <f ca="1">IF(AND(ISNUMBER($AQ$264),$B$145=1),$AQ$264,HLOOKUP(INDIRECT(ADDRESS(2,COLUMN())),OFFSET($BN$2,0,0,ROW()-1,60),ROW()-1,FALSE))</f>
        <v>1751265</v>
      </c>
      <c r="AR127">
        <f ca="1">IF(AND(ISNUMBER($AR$264),$B$145=1),$AR$264,HLOOKUP(INDIRECT(ADDRESS(2,COLUMN())),OFFSET($BN$2,0,0,ROW()-1,60),ROW()-1,FALSE))</f>
        <v>1720617</v>
      </c>
      <c r="AS127">
        <f ca="1">IF(AND(ISNUMBER($AS$264),$B$145=1),$AS$264,HLOOKUP(INDIRECT(ADDRESS(2,COLUMN())),OFFSET($BN$2,0,0,ROW()-1,60),ROW()-1,FALSE))</f>
        <v>1737737</v>
      </c>
      <c r="AT127">
        <f ca="1">IF(AND(ISNUMBER($AT$264),$B$145=1),$AT$264,HLOOKUP(INDIRECT(ADDRESS(2,COLUMN())),OFFSET($BN$2,0,0,ROW()-1,60),ROW()-1,FALSE))</f>
        <v>1687155</v>
      </c>
      <c r="AU127">
        <f ca="1">IF(AND(ISNUMBER($AU$264),$B$145=1),$AU$264,HLOOKUP(INDIRECT(ADDRESS(2,COLUMN())),OFFSET($BN$2,0,0,ROW()-1,60),ROW()-1,FALSE))</f>
        <v>1636855</v>
      </c>
      <c r="AV127">
        <f ca="1">IF(AND(ISNUMBER($AV$264),$B$145=1),$AV$264,HLOOKUP(INDIRECT(ADDRESS(2,COLUMN())),OFFSET($BN$2,0,0,ROW()-1,60),ROW()-1,FALSE))</f>
        <v>1598874</v>
      </c>
      <c r="AW127">
        <f ca="1">IF(AND(ISNUMBER($AW$264),$B$145=1),$AW$264,HLOOKUP(INDIRECT(ADDRESS(2,COLUMN())),OFFSET($BN$2,0,0,ROW()-1,60),ROW()-1,FALSE))</f>
        <v>1546707</v>
      </c>
      <c r="AX127">
        <f ca="1">IF(AND(ISNUMBER($AX$264),$B$145=1),$AX$264,HLOOKUP(INDIRECT(ADDRESS(2,COLUMN())),OFFSET($BN$2,0,0,ROW()-1,60),ROW()-1,FALSE))</f>
        <v>1527015</v>
      </c>
      <c r="AY127">
        <f ca="1">IF(AND(ISNUMBER($AY$264),$B$145=1),$AY$264,HLOOKUP(INDIRECT(ADDRESS(2,COLUMN())),OFFSET($BN$2,0,0,ROW()-1,60),ROW()-1,FALSE))</f>
        <v>1488055</v>
      </c>
      <c r="AZ127">
        <f ca="1">IF(AND(ISNUMBER($AZ$264),$B$145=1),$AZ$264,HLOOKUP(INDIRECT(ADDRESS(2,COLUMN())),OFFSET($BN$2,0,0,ROW()-1,60),ROW()-1,FALSE))</f>
        <v>1440563</v>
      </c>
      <c r="BA127">
        <f ca="1">IF(AND(ISNUMBER($BA$264),$B$145=1),$BA$264,HLOOKUP(INDIRECT(ADDRESS(2,COLUMN())),OFFSET($BN$2,0,0,ROW()-1,60),ROW()-1,FALSE))</f>
        <v>1436634</v>
      </c>
      <c r="BB127">
        <f ca="1">IF(AND(ISNUMBER($BB$264),$B$145=1),$BB$264,HLOOKUP(INDIRECT(ADDRESS(2,COLUMN())),OFFSET($BN$2,0,0,ROW()-1,60),ROW()-1,FALSE))</f>
        <v>1422968</v>
      </c>
      <c r="BC127">
        <f ca="1">IF(AND(ISNUMBER($BC$264),$B$145=1),$BC$264,HLOOKUP(INDIRECT(ADDRESS(2,COLUMN())),OFFSET($BN$2,0,0,ROW()-1,60),ROW()-1,FALSE))</f>
        <v>1374715</v>
      </c>
      <c r="BD127">
        <f ca="1">IF(AND(ISNUMBER($BD$264),$B$145=1),$BD$264,HLOOKUP(INDIRECT(ADDRESS(2,COLUMN())),OFFSET($BN$2,0,0,ROW()-1,60),ROW()-1,FALSE))</f>
        <v>1336204</v>
      </c>
      <c r="BE127">
        <f ca="1">IF(AND(ISNUMBER($BE$264),$B$145=1),$BE$264,HLOOKUP(INDIRECT(ADDRESS(2,COLUMN())),OFFSET($BN$2,0,0,ROW()-1,60),ROW()-1,FALSE))</f>
        <v>1333799</v>
      </c>
      <c r="BF127">
        <f ca="1">IF(AND(ISNUMBER($BF$264),$B$145=1),$BF$264,HLOOKUP(INDIRECT(ADDRESS(2,COLUMN())),OFFSET($BN$2,0,0,ROW()-1,60),ROW()-1,FALSE))</f>
        <v>1313867</v>
      </c>
      <c r="BG127">
        <f ca="1">IF(AND(ISNUMBER($BG$264),$B$145=1),$BG$264,HLOOKUP(INDIRECT(ADDRESS(2,COLUMN())),OFFSET($BN$2,0,0,ROW()-1,60),ROW()-1,FALSE))</f>
        <v>1304945</v>
      </c>
      <c r="BH127">
        <f ca="1">IF(AND(ISNUMBER($BH$264),$B$145=1),$BH$264,HLOOKUP(INDIRECT(ADDRESS(2,COLUMN())),OFFSET($BN$2,0,0,ROW()-1,60),ROW()-1,FALSE))</f>
        <v>1259734</v>
      </c>
      <c r="BI127">
        <f ca="1">IF(AND(ISNUMBER($BI$264),$B$145=1),$BI$264,HLOOKUP(INDIRECT(ADDRESS(2,COLUMN())),OFFSET($BN$2,0,0,ROW()-1,60),ROW()-1,FALSE))</f>
        <v>1244666</v>
      </c>
      <c r="BJ127">
        <f ca="1">IF(AND(ISNUMBER($BJ$264),$B$145=1),$BJ$264,HLOOKUP(INDIRECT(ADDRESS(2,COLUMN())),OFFSET($BN$2,0,0,ROW()-1,60),ROW()-1,FALSE))</f>
        <v>1258128</v>
      </c>
      <c r="BK127">
        <f ca="1">IF(AND(ISNUMBER($BK$264),$B$145=1),$BK$264,HLOOKUP(INDIRECT(ADDRESS(2,COLUMN())),OFFSET($BN$2,0,0,ROW()-1,60),ROW()-1,FALSE))</f>
        <v>1220784</v>
      </c>
      <c r="BL127">
        <f ca="1">IF(AND(ISNUMBER($BL$264),$B$145=1),$BL$264,HLOOKUP(INDIRECT(ADDRESS(2,COLUMN())),OFFSET($BN$2,0,0,ROW()-1,60),ROW()-1,FALSE))</f>
        <v>1225862</v>
      </c>
      <c r="BM127" t="str">
        <f ca="1">IF(AND(ISNUMBER($BM$264),$B$145=1),$BM$264,HLOOKUP(INDIRECT(ADDRESS(2,COLUMN())),OFFSET($BN$2,0,0,ROW()-1,60),ROW()-1,FALSE))</f>
        <v/>
      </c>
      <c r="BN127">
        <f>1929845</f>
        <v>1929845</v>
      </c>
      <c r="BO127">
        <f>1922125</f>
        <v>1922125</v>
      </c>
      <c r="BP127">
        <f>1940074</f>
        <v>1940074</v>
      </c>
      <c r="BQ127">
        <f>1959160</f>
        <v>1959160</v>
      </c>
      <c r="BR127">
        <f>1932472</f>
        <v>1932472</v>
      </c>
      <c r="BS127">
        <f>1909261</f>
        <v>1909261</v>
      </c>
      <c r="BT127">
        <f>1876322</f>
        <v>1876322</v>
      </c>
      <c r="BU127">
        <f>1886400</f>
        <v>1886400</v>
      </c>
      <c r="BV127">
        <f>1881016</f>
        <v>1881016</v>
      </c>
      <c r="BW127">
        <f>1877745</f>
        <v>1877745</v>
      </c>
      <c r="BX127">
        <f>1881142</f>
        <v>1881142</v>
      </c>
      <c r="BY127">
        <f>1939709</f>
        <v>1939709</v>
      </c>
      <c r="BZ127">
        <f>1948068</f>
        <v>1948068</v>
      </c>
      <c r="CA127">
        <f>1954901</f>
        <v>1954901</v>
      </c>
      <c r="CB127">
        <f>1945996</f>
        <v>1945996</v>
      </c>
      <c r="CC127">
        <f>1959543</f>
        <v>1959543</v>
      </c>
      <c r="CD127">
        <f>1955163</f>
        <v>1955163</v>
      </c>
      <c r="CE127">
        <f>1922220</f>
        <v>1922220</v>
      </c>
      <c r="CF127">
        <f>1968766</f>
        <v>1968766</v>
      </c>
      <c r="CG127">
        <f>1981349</f>
        <v>1981349</v>
      </c>
      <c r="CH127">
        <f>1927555</f>
        <v>1927555</v>
      </c>
      <c r="CI127">
        <f>1943950</f>
        <v>1943950</v>
      </c>
      <c r="CJ127">
        <f>1923388</f>
        <v>1923388</v>
      </c>
      <c r="CK127">
        <f>1887792</f>
        <v>1887792</v>
      </c>
      <c r="CL127">
        <f>1895883</f>
        <v>1895883</v>
      </c>
      <c r="CM127">
        <f>1872981</f>
        <v>1872981</v>
      </c>
      <c r="CN127">
        <f>1879700</f>
        <v>1879700</v>
      </c>
      <c r="CO127">
        <f>1915388</f>
        <v>1915388</v>
      </c>
      <c r="CP127">
        <f>1951757</f>
        <v>1951757</v>
      </c>
      <c r="CQ127">
        <f>1934939</f>
        <v>1934939</v>
      </c>
      <c r="CR127">
        <f>1930871</f>
        <v>1930871</v>
      </c>
      <c r="CS127">
        <f>1951564</f>
        <v>1951564</v>
      </c>
      <c r="CT127">
        <f>1930115</f>
        <v>1930115</v>
      </c>
      <c r="CU127">
        <f>1942124</f>
        <v>1942124</v>
      </c>
      <c r="CV127">
        <f>1889235</f>
        <v>1889235</v>
      </c>
      <c r="CW127">
        <f>1849182</f>
        <v>1849182</v>
      </c>
      <c r="CX127">
        <f>1787632</f>
        <v>1787632</v>
      </c>
      <c r="CY127">
        <f>1751265</f>
        <v>1751265</v>
      </c>
      <c r="CZ127">
        <f>1720617</f>
        <v>1720617</v>
      </c>
      <c r="DA127">
        <f>1737737</f>
        <v>1737737</v>
      </c>
      <c r="DB127">
        <f>1687155</f>
        <v>1687155</v>
      </c>
      <c r="DC127">
        <f>1636855</f>
        <v>1636855</v>
      </c>
      <c r="DD127">
        <f>1598874</f>
        <v>1598874</v>
      </c>
      <c r="DE127">
        <f>1546707</f>
        <v>1546707</v>
      </c>
      <c r="DF127">
        <f>1527015</f>
        <v>1527015</v>
      </c>
      <c r="DG127">
        <f>1488055</f>
        <v>1488055</v>
      </c>
      <c r="DH127">
        <f>1440563</f>
        <v>1440563</v>
      </c>
      <c r="DI127">
        <f>1436634</f>
        <v>1436634</v>
      </c>
      <c r="DJ127">
        <f>1422968</f>
        <v>1422968</v>
      </c>
      <c r="DK127">
        <f>1374715</f>
        <v>1374715</v>
      </c>
      <c r="DL127">
        <f>1336204</f>
        <v>1336204</v>
      </c>
      <c r="DM127">
        <f>1333799</f>
        <v>1333799</v>
      </c>
      <c r="DN127">
        <f>1313867</f>
        <v>1313867</v>
      </c>
      <c r="DO127">
        <f>1304945</f>
        <v>1304945</v>
      </c>
      <c r="DP127">
        <f>1259734</f>
        <v>1259734</v>
      </c>
      <c r="DQ127">
        <f>1244666</f>
        <v>1244666</v>
      </c>
      <c r="DR127">
        <f>1258128</f>
        <v>1258128</v>
      </c>
      <c r="DS127">
        <f>1220784</f>
        <v>1220784</v>
      </c>
      <c r="DT127">
        <f>1225862</f>
        <v>1225862</v>
      </c>
      <c r="DU127" t="str">
        <f>""</f>
        <v/>
      </c>
    </row>
    <row r="128" spans="1:125" x14ac:dyDescent="0.25">
      <c r="A128" t="str">
        <f>"            Western Alliance Bancorp"</f>
        <v xml:space="preserve">            Western Alliance Bancorp</v>
      </c>
      <c r="B128" t="str">
        <f>"WAL US Equity"</f>
        <v>WAL US Equity</v>
      </c>
      <c r="C128" t="str">
        <f t="shared" si="16"/>
        <v>FC001</v>
      </c>
      <c r="D128" t="str">
        <f t="shared" si="17"/>
        <v>FDIC_TOTAL_ASSETS</v>
      </c>
      <c r="E128" t="str">
        <f t="shared" si="18"/>
        <v>Dynamic</v>
      </c>
      <c r="F128">
        <f ca="1">IF(AND(ISNUMBER($F$265),$B$145=1),$F$265,HLOOKUP(INDIRECT(ADDRESS(2,COLUMN())),OFFSET($BN$2,0,0,ROW()-1,60),ROW()-1,FALSE))</f>
        <v>80934.240999999995</v>
      </c>
      <c r="G128">
        <f ca="1">IF(AND(ISNUMBER($G$265),$B$145=1),$G$265,HLOOKUP(INDIRECT(ADDRESS(2,COLUMN())),OFFSET($BN$2,0,0,ROW()-1,60),ROW()-1,FALSE))</f>
        <v>80079.521999999997</v>
      </c>
      <c r="H128">
        <f ca="1">IF(AND(ISNUMBER($H$265),$B$145=1),$H$265,HLOOKUP(INDIRECT(ADDRESS(2,COLUMN())),OFFSET($BN$2,0,0,ROW()-1,60),ROW()-1,FALSE))</f>
        <v>80581.017000000007</v>
      </c>
      <c r="I128">
        <f ca="1">IF(AND(ISNUMBER($I$265),$B$145=1),$I$265,HLOOKUP(INDIRECT(ADDRESS(2,COLUMN())),OFFSET($BN$2,0,0,ROW()-1,60),ROW()-1,FALSE))</f>
        <v>76989.391000000003</v>
      </c>
      <c r="J128">
        <f ca="1">IF(AND(ISNUMBER($J$265),$B$145=1),$J$265,HLOOKUP(INDIRECT(ADDRESS(2,COLUMN())),OFFSET($BN$2,0,0,ROW()-1,60),ROW()-1,FALSE))</f>
        <v>70862.471000000005</v>
      </c>
      <c r="K128">
        <f ca="1">IF(AND(ISNUMBER($K$265),$B$145=1),$K$265,HLOOKUP(INDIRECT(ADDRESS(2,COLUMN())),OFFSET($BN$2,0,0,ROW()-1,60),ROW()-1,FALSE))</f>
        <v>70890.925000000003</v>
      </c>
      <c r="L128">
        <f ca="1">IF(AND(ISNUMBER($L$265),$B$145=1),$L$265,HLOOKUP(INDIRECT(ADDRESS(2,COLUMN())),OFFSET($BN$2,0,0,ROW()-1,60),ROW()-1,FALSE))</f>
        <v>68159.683999999994</v>
      </c>
      <c r="M128">
        <f ca="1">IF(AND(ISNUMBER($M$265),$B$145=1),$M$265,HLOOKUP(INDIRECT(ADDRESS(2,COLUMN())),OFFSET($BN$2,0,0,ROW()-1,60),ROW()-1,FALSE))</f>
        <v>71047.202000000005</v>
      </c>
      <c r="N128">
        <f ca="1">IF(AND(ISNUMBER($N$265),$B$145=1),$N$265,HLOOKUP(INDIRECT(ADDRESS(2,COLUMN())),OFFSET($BN$2,0,0,ROW()-1,60),ROW()-1,FALSE))</f>
        <v>67733.919999999998</v>
      </c>
      <c r="O128">
        <f ca="1">IF(AND(ISNUMBER($O$265),$B$145=1),$O$265,HLOOKUP(INDIRECT(ADDRESS(2,COLUMN())),OFFSET($BN$2,0,0,ROW()-1,60),ROW()-1,FALSE))</f>
        <v>69164.937000000005</v>
      </c>
      <c r="P128">
        <f ca="1">IF(AND(ISNUMBER($P$265),$B$145=1),$P$265,HLOOKUP(INDIRECT(ADDRESS(2,COLUMN())),OFFSET($BN$2,0,0,ROW()-1,60),ROW()-1,FALSE))</f>
        <v>66055.335999999996</v>
      </c>
      <c r="Q128">
        <f ca="1">IF(AND(ISNUMBER($Q$265),$B$145=1),$Q$265,HLOOKUP(INDIRECT(ADDRESS(2,COLUMN())),OFFSET($BN$2,0,0,ROW()-1,60),ROW()-1,FALSE))</f>
        <v>60576.061000000002</v>
      </c>
      <c r="R128">
        <f ca="1">IF(AND(ISNUMBER($R$265),$B$145=1),$R$265,HLOOKUP(INDIRECT(ADDRESS(2,COLUMN())),OFFSET($BN$2,0,0,ROW()-1,60),ROW()-1,FALSE))</f>
        <v>55982.635000000002</v>
      </c>
      <c r="S128">
        <f ca="1">IF(AND(ISNUMBER($S$265),$B$145=1),$S$265,HLOOKUP(INDIRECT(ADDRESS(2,COLUMN())),OFFSET($BN$2,0,0,ROW()-1,60),ROW()-1,FALSE))</f>
        <v>52775.07</v>
      </c>
      <c r="T128">
        <f ca="1">IF(AND(ISNUMBER($T$265),$B$145=1),$T$265,HLOOKUP(INDIRECT(ADDRESS(2,COLUMN())),OFFSET($BN$2,0,0,ROW()-1,60),ROW()-1,FALSE))</f>
        <v>49068.997000000003</v>
      </c>
      <c r="U128">
        <f ca="1">IF(AND(ISNUMBER($U$265),$B$145=1),$U$265,HLOOKUP(INDIRECT(ADDRESS(2,COLUMN())),OFFSET($BN$2,0,0,ROW()-1,60),ROW()-1,FALSE))</f>
        <v>43397.016000000003</v>
      </c>
      <c r="V128">
        <f ca="1">IF(AND(ISNUMBER($V$265),$B$145=1),$V$265,HLOOKUP(INDIRECT(ADDRESS(2,COLUMN())),OFFSET($BN$2,0,0,ROW()-1,60),ROW()-1,FALSE))</f>
        <v>36461.042000000001</v>
      </c>
      <c r="W128">
        <f ca="1">IF(AND(ISNUMBER($W$265),$B$145=1),$W$265,HLOOKUP(INDIRECT(ADDRESS(2,COLUMN())),OFFSET($BN$2,0,0,ROW()-1,60),ROW()-1,FALSE))</f>
        <v>33335.506000000001</v>
      </c>
      <c r="X128">
        <f ca="1">IF(AND(ISNUMBER($X$265),$B$145=1),$X$265,HLOOKUP(INDIRECT(ADDRESS(2,COLUMN())),OFFSET($BN$2,0,0,ROW()-1,60),ROW()-1,FALSE))</f>
        <v>31906.396000000001</v>
      </c>
      <c r="Y128">
        <f ca="1">IF(AND(ISNUMBER($Y$265),$B$145=1),$Y$265,HLOOKUP(INDIRECT(ADDRESS(2,COLUMN())),OFFSET($BN$2,0,0,ROW()-1,60),ROW()-1,FALSE))</f>
        <v>29158.226999999999</v>
      </c>
      <c r="Z128">
        <f ca="1">IF(AND(ISNUMBER($Z$265),$B$145=1),$Z$265,HLOOKUP(INDIRECT(ADDRESS(2,COLUMN())),OFFSET($BN$2,0,0,ROW()-1,60),ROW()-1,FALSE))</f>
        <v>26821.948</v>
      </c>
      <c r="AA128">
        <f ca="1">IF(AND(ISNUMBER($AA$265),$B$145=1),$AA$265,HLOOKUP(INDIRECT(ADDRESS(2,COLUMN())),OFFSET($BN$2,0,0,ROW()-1,60),ROW()-1,FALSE))</f>
        <v>26324.244999999999</v>
      </c>
      <c r="AB128">
        <f ca="1">IF(AND(ISNUMBER($AB$265),$B$145=1),$AB$265,HLOOKUP(INDIRECT(ADDRESS(2,COLUMN())),OFFSET($BN$2,0,0,ROW()-1,60),ROW()-1,FALSE))</f>
        <v>25314.785</v>
      </c>
      <c r="AC128">
        <f ca="1">IF(AND(ISNUMBER($AC$265),$B$145=1),$AC$265,HLOOKUP(INDIRECT(ADDRESS(2,COLUMN())),OFFSET($BN$2,0,0,ROW()-1,60),ROW()-1,FALSE))</f>
        <v>23792.846000000001</v>
      </c>
      <c r="AD128">
        <f ca="1">IF(AND(ISNUMBER($AD$265),$B$145=1),$AD$265,HLOOKUP(INDIRECT(ADDRESS(2,COLUMN())),OFFSET($BN$2,0,0,ROW()-1,60),ROW()-1,FALSE))</f>
        <v>23109.486000000001</v>
      </c>
      <c r="AE128">
        <f ca="1">IF(AND(ISNUMBER($AE$265),$B$145=1),$AE$265,HLOOKUP(INDIRECT(ADDRESS(2,COLUMN())),OFFSET($BN$2,0,0,ROW()-1,60),ROW()-1,FALSE))</f>
        <v>22176.147000000001</v>
      </c>
      <c r="AF128">
        <f ca="1">IF(AND(ISNUMBER($AF$265),$B$145=1),$AF$265,HLOOKUP(INDIRECT(ADDRESS(2,COLUMN())),OFFSET($BN$2,0,0,ROW()-1,60),ROW()-1,FALSE))</f>
        <v>21367.452000000001</v>
      </c>
      <c r="AG128">
        <f ca="1">IF(AND(ISNUMBER($AG$265),$B$145=1),$AG$265,HLOOKUP(INDIRECT(ADDRESS(2,COLUMN())),OFFSET($BN$2,0,0,ROW()-1,60),ROW()-1,FALSE))</f>
        <v>20760.731</v>
      </c>
      <c r="AH128">
        <f ca="1">IF(AND(ISNUMBER($AH$265),$B$145=1),$AH$265,HLOOKUP(INDIRECT(ADDRESS(2,COLUMN())),OFFSET($BN$2,0,0,ROW()-1,60),ROW()-1,FALSE))</f>
        <v>20329.084999999999</v>
      </c>
      <c r="AI128">
        <f ca="1">IF(AND(ISNUMBER($AI$265),$B$145=1),$AI$265,HLOOKUP(INDIRECT(ADDRESS(2,COLUMN())),OFFSET($BN$2,0,0,ROW()-1,60),ROW()-1,FALSE))</f>
        <v>19922.221000000001</v>
      </c>
      <c r="AJ128">
        <f ca="1">IF(AND(ISNUMBER($AJ$265),$B$145=1),$AJ$265,HLOOKUP(INDIRECT(ADDRESS(2,COLUMN())),OFFSET($BN$2,0,0,ROW()-1,60),ROW()-1,FALSE))</f>
        <v>18844.744999999999</v>
      </c>
      <c r="AK128">
        <f ca="1">IF(AND(ISNUMBER($AK$265),$B$145=1),$AK$265,HLOOKUP(INDIRECT(ADDRESS(2,COLUMN())),OFFSET($BN$2,0,0,ROW()-1,60),ROW()-1,FALSE))</f>
        <v>18122.506000000001</v>
      </c>
      <c r="AL128">
        <f ca="1">IF(AND(ISNUMBER($AL$265),$B$145=1),$AL$265,HLOOKUP(INDIRECT(ADDRESS(2,COLUMN())),OFFSET($BN$2,0,0,ROW()-1,60),ROW()-1,FALSE))</f>
        <v>17200.842000000001</v>
      </c>
      <c r="AM128">
        <f ca="1">IF(AND(ISNUMBER($AM$265),$B$145=1),$AM$265,HLOOKUP(INDIRECT(ADDRESS(2,COLUMN())),OFFSET($BN$2,0,0,ROW()-1,60),ROW()-1,FALSE))</f>
        <v>17042.601999999999</v>
      </c>
      <c r="AN128">
        <f ca="1">IF(AND(ISNUMBER($AN$265),$B$145=1),$AN$265,HLOOKUP(INDIRECT(ADDRESS(2,COLUMN())),OFFSET($BN$2,0,0,ROW()-1,60),ROW()-1,FALSE))</f>
        <v>16728.767</v>
      </c>
      <c r="AO128">
        <f ca="1">IF(AND(ISNUMBER($AO$265),$B$145=1),$AO$265,HLOOKUP(INDIRECT(ADDRESS(2,COLUMN())),OFFSET($BN$2,0,0,ROW()-1,60),ROW()-1,FALSE))</f>
        <v>15248.039000000001</v>
      </c>
      <c r="AP128">
        <f ca="1">IF(AND(ISNUMBER($AP$265),$B$145=1),$AP$265,HLOOKUP(INDIRECT(ADDRESS(2,COLUMN())),OFFSET($BN$2,0,0,ROW()-1,60),ROW()-1,FALSE))</f>
        <v>14275.089</v>
      </c>
      <c r="AQ128">
        <f ca="1">IF(AND(ISNUMBER($AQ$265),$B$145=1),$AQ$265,HLOOKUP(INDIRECT(ADDRESS(2,COLUMN())),OFFSET($BN$2,0,0,ROW()-1,60),ROW()-1,FALSE))</f>
        <v>13955.57</v>
      </c>
      <c r="AR128">
        <f ca="1">IF(AND(ISNUMBER($AR$265),$B$145=1),$AR$265,HLOOKUP(INDIRECT(ADDRESS(2,COLUMN())),OFFSET($BN$2,0,0,ROW()-1,60),ROW()-1,FALSE))</f>
        <v>13470.103999999999</v>
      </c>
      <c r="AS128">
        <f ca="1">IF(AND(ISNUMBER($AS$265),$B$145=1),$AS$265,HLOOKUP(INDIRECT(ADDRESS(2,COLUMN())),OFFSET($BN$2,0,0,ROW()-1,60),ROW()-1,FALSE))</f>
        <v>11251.942999999999</v>
      </c>
      <c r="AT128">
        <f ca="1">IF(AND(ISNUMBER($AT$265),$B$145=1),$AT$265,HLOOKUP(INDIRECT(ADDRESS(2,COLUMN())),OFFSET($BN$2,0,0,ROW()-1,60),ROW()-1,FALSE))</f>
        <v>10600.498</v>
      </c>
      <c r="AU128">
        <f ca="1">IF(AND(ISNUMBER($AU$265),$B$145=1),$AU$265,HLOOKUP(INDIRECT(ADDRESS(2,COLUMN())),OFFSET($BN$2,0,0,ROW()-1,60),ROW()-1,FALSE))</f>
        <v>10288.824000000001</v>
      </c>
      <c r="AV128">
        <f ca="1">IF(AND(ISNUMBER($AV$265),$B$145=1),$AV$265,HLOOKUP(INDIRECT(ADDRESS(2,COLUMN())),OFFSET($BN$2,0,0,ROW()-1,60),ROW()-1,FALSE))</f>
        <v>10023.587</v>
      </c>
      <c r="AW128">
        <f ca="1">IF(AND(ISNUMBER($AW$265),$B$145=1),$AW$265,HLOOKUP(INDIRECT(ADDRESS(2,COLUMN())),OFFSET($BN$2,0,0,ROW()-1,60),ROW()-1,FALSE))</f>
        <v>9746.6239999999998</v>
      </c>
      <c r="AX128">
        <f ca="1">IF(AND(ISNUMBER($AX$265),$B$145=1),$AX$265,HLOOKUP(INDIRECT(ADDRESS(2,COLUMN())),OFFSET($BN$2,0,0,ROW()-1,60),ROW()-1,FALSE))</f>
        <v>9307.0949999999993</v>
      </c>
      <c r="AY128">
        <f ca="1">IF(AND(ISNUMBER($AY$265),$B$145=1),$AY$265,HLOOKUP(INDIRECT(ADDRESS(2,COLUMN())),OFFSET($BN$2,0,0,ROW()-1,60),ROW()-1,FALSE))</f>
        <v>8921.4290000000001</v>
      </c>
      <c r="AZ128">
        <f ca="1">IF(AND(ISNUMBER($AZ$265),$B$145=1),$AZ$265,HLOOKUP(INDIRECT(ADDRESS(2,COLUMN())),OFFSET($BN$2,0,0,ROW()-1,60),ROW()-1,FALSE))</f>
        <v>8593.6839999999993</v>
      </c>
      <c r="BA128">
        <f ca="1">IF(AND(ISNUMBER($BA$265),$B$145=1),$BA$265,HLOOKUP(INDIRECT(ADDRESS(2,COLUMN())),OFFSET($BN$2,0,0,ROW()-1,60),ROW()-1,FALSE))</f>
        <v>8174.1040000000003</v>
      </c>
      <c r="BB128">
        <f ca="1">IF(AND(ISNUMBER($BB$265),$B$145=1),$BB$265,HLOOKUP(INDIRECT(ADDRESS(2,COLUMN())),OFFSET($BN$2,0,0,ROW()-1,60),ROW()-1,FALSE))</f>
        <v>7622.6369999999997</v>
      </c>
      <c r="BC128">
        <f ca="1">IF(AND(ISNUMBER($BC$265),$B$145=1),$BC$265,HLOOKUP(INDIRECT(ADDRESS(2,COLUMN())),OFFSET($BN$2,0,0,ROW()-1,60),ROW()-1,FALSE))</f>
        <v>7403.6030000000001</v>
      </c>
      <c r="BD128">
        <f ca="1">IF(AND(ISNUMBER($BD$265),$B$145=1),$BD$265,HLOOKUP(INDIRECT(ADDRESS(2,COLUMN())),OFFSET($BN$2,0,0,ROW()-1,60),ROW()-1,FALSE))</f>
        <v>7163.5720000000001</v>
      </c>
      <c r="BE128">
        <f ca="1">IF(AND(ISNUMBER($BE$265),$B$145=1),$BE$265,HLOOKUP(INDIRECT(ADDRESS(2,COLUMN())),OFFSET($BN$2,0,0,ROW()-1,60),ROW()-1,FALSE))</f>
        <v>6925.2920000000004</v>
      </c>
      <c r="BF128">
        <f ca="1">IF(AND(ISNUMBER($BF$265),$B$145=1),$BF$265,HLOOKUP(INDIRECT(ADDRESS(2,COLUMN())),OFFSET($BN$2,0,0,ROW()-1,60),ROW()-1,FALSE))</f>
        <v>6844.5410000000002</v>
      </c>
      <c r="BG128">
        <f ca="1">IF(AND(ISNUMBER($BG$265),$B$145=1),$BG$265,HLOOKUP(INDIRECT(ADDRESS(2,COLUMN())),OFFSET($BN$2,0,0,ROW()-1,60),ROW()-1,FALSE))</f>
        <v>6545.89</v>
      </c>
      <c r="BH128">
        <f ca="1">IF(AND(ISNUMBER($BH$265),$B$145=1),$BH$265,HLOOKUP(INDIRECT(ADDRESS(2,COLUMN())),OFFSET($BN$2,0,0,ROW()-1,60),ROW()-1,FALSE))</f>
        <v>6508.0889999999999</v>
      </c>
      <c r="BI128">
        <f ca="1">IF(AND(ISNUMBER($BI$265),$B$145=1),$BI$265,HLOOKUP(INDIRECT(ADDRESS(2,COLUMN())),OFFSET($BN$2,0,0,ROW()-1,60),ROW()-1,FALSE))</f>
        <v>6404.8360000000002</v>
      </c>
      <c r="BJ128">
        <f ca="1">IF(AND(ISNUMBER($BJ$265),$B$145=1),$BJ$265,HLOOKUP(INDIRECT(ADDRESS(2,COLUMN())),OFFSET($BN$2,0,0,ROW()-1,60),ROW()-1,FALSE))</f>
        <v>6193.8829999999998</v>
      </c>
      <c r="BK128">
        <f ca="1">IF(AND(ISNUMBER($BK$265),$B$145=1),$BK$265,HLOOKUP(INDIRECT(ADDRESS(2,COLUMN())),OFFSET($BN$2,0,0,ROW()-1,60),ROW()-1,FALSE))</f>
        <v>6179.1459999999997</v>
      </c>
      <c r="BL128">
        <f ca="1">IF(AND(ISNUMBER($BL$265),$B$145=1),$BL$265,HLOOKUP(INDIRECT(ADDRESS(2,COLUMN())),OFFSET($BN$2,0,0,ROW()-1,60),ROW()-1,FALSE))</f>
        <v>5959.4790000000003</v>
      </c>
      <c r="BM128" t="str">
        <f ca="1">IF(AND(ISNUMBER($BM$265),$B$145=1),$BM$265,HLOOKUP(INDIRECT(ADDRESS(2,COLUMN())),OFFSET($BN$2,0,0,ROW()-1,60),ROW()-1,FALSE))</f>
        <v/>
      </c>
      <c r="BN128">
        <f>80934.241</f>
        <v>80934.240999999995</v>
      </c>
      <c r="BO128">
        <f>80079.522</f>
        <v>80079.521999999997</v>
      </c>
      <c r="BP128">
        <f>80581.017</f>
        <v>80581.017000000007</v>
      </c>
      <c r="BQ128">
        <f>76989.391</f>
        <v>76989.391000000003</v>
      </c>
      <c r="BR128">
        <f>70862.471</f>
        <v>70862.471000000005</v>
      </c>
      <c r="BS128">
        <f>70890.925</f>
        <v>70890.925000000003</v>
      </c>
      <c r="BT128">
        <f>68159.684</f>
        <v>68159.683999999994</v>
      </c>
      <c r="BU128">
        <f>71047.202</f>
        <v>71047.202000000005</v>
      </c>
      <c r="BV128">
        <f>67733.92</f>
        <v>67733.919999999998</v>
      </c>
      <c r="BW128">
        <f>69164.937</f>
        <v>69164.937000000005</v>
      </c>
      <c r="BX128">
        <f>66055.336</f>
        <v>66055.335999999996</v>
      </c>
      <c r="BY128">
        <f>60576.061</f>
        <v>60576.061000000002</v>
      </c>
      <c r="BZ128">
        <f>55982.635</f>
        <v>55982.635000000002</v>
      </c>
      <c r="CA128">
        <f>52775.07</f>
        <v>52775.07</v>
      </c>
      <c r="CB128">
        <f>49068.997</f>
        <v>49068.997000000003</v>
      </c>
      <c r="CC128">
        <f>43397.016</f>
        <v>43397.016000000003</v>
      </c>
      <c r="CD128">
        <f>36461.042</f>
        <v>36461.042000000001</v>
      </c>
      <c r="CE128">
        <f>33335.506</f>
        <v>33335.506000000001</v>
      </c>
      <c r="CF128">
        <f>31906.396</f>
        <v>31906.396000000001</v>
      </c>
      <c r="CG128">
        <f>29158.227</f>
        <v>29158.226999999999</v>
      </c>
      <c r="CH128">
        <f>26821.948</f>
        <v>26821.948</v>
      </c>
      <c r="CI128">
        <f>26324.245</f>
        <v>26324.244999999999</v>
      </c>
      <c r="CJ128">
        <f>25314.785</f>
        <v>25314.785</v>
      </c>
      <c r="CK128">
        <f>23792.846</f>
        <v>23792.846000000001</v>
      </c>
      <c r="CL128">
        <f>23109.486</f>
        <v>23109.486000000001</v>
      </c>
      <c r="CM128">
        <f>22176.147</f>
        <v>22176.147000000001</v>
      </c>
      <c r="CN128">
        <f>21367.452</f>
        <v>21367.452000000001</v>
      </c>
      <c r="CO128">
        <f>20760.731</f>
        <v>20760.731</v>
      </c>
      <c r="CP128">
        <f>20329.085</f>
        <v>20329.084999999999</v>
      </c>
      <c r="CQ128">
        <f>19922.221</f>
        <v>19922.221000000001</v>
      </c>
      <c r="CR128">
        <f>18844.745</f>
        <v>18844.744999999999</v>
      </c>
      <c r="CS128">
        <f>18122.506</f>
        <v>18122.506000000001</v>
      </c>
      <c r="CT128">
        <f>17200.842</f>
        <v>17200.842000000001</v>
      </c>
      <c r="CU128">
        <f>17042.602</f>
        <v>17042.601999999999</v>
      </c>
      <c r="CV128">
        <f>16728.767</f>
        <v>16728.767</v>
      </c>
      <c r="CW128">
        <f>15248.039</f>
        <v>15248.039000000001</v>
      </c>
      <c r="CX128">
        <f>14275.089</f>
        <v>14275.089</v>
      </c>
      <c r="CY128">
        <f>13955.57</f>
        <v>13955.57</v>
      </c>
      <c r="CZ128">
        <f>13470.104</f>
        <v>13470.103999999999</v>
      </c>
      <c r="DA128">
        <f>11251.943</f>
        <v>11251.942999999999</v>
      </c>
      <c r="DB128">
        <f>10600.498</f>
        <v>10600.498</v>
      </c>
      <c r="DC128">
        <f>10288.824</f>
        <v>10288.824000000001</v>
      </c>
      <c r="DD128">
        <f>10023.587</f>
        <v>10023.587</v>
      </c>
      <c r="DE128">
        <f>9746.624</f>
        <v>9746.6239999999998</v>
      </c>
      <c r="DF128">
        <f>9307.095</f>
        <v>9307.0949999999993</v>
      </c>
      <c r="DG128">
        <f>8921.429</f>
        <v>8921.4290000000001</v>
      </c>
      <c r="DH128">
        <f>8593.684</f>
        <v>8593.6839999999993</v>
      </c>
      <c r="DI128">
        <f>8174.104</f>
        <v>8174.1040000000003</v>
      </c>
      <c r="DJ128">
        <f>7622.637</f>
        <v>7622.6369999999997</v>
      </c>
      <c r="DK128">
        <f>7403.603</f>
        <v>7403.6030000000001</v>
      </c>
      <c r="DL128">
        <f>7163.572</f>
        <v>7163.5720000000001</v>
      </c>
      <c r="DM128">
        <f>6925.292</f>
        <v>6925.2920000000004</v>
      </c>
      <c r="DN128">
        <f>6844.541</f>
        <v>6844.5410000000002</v>
      </c>
      <c r="DO128">
        <f>6545.89</f>
        <v>6545.89</v>
      </c>
      <c r="DP128">
        <f>6508.089</f>
        <v>6508.0889999999999</v>
      </c>
      <c r="DQ128">
        <f>6404.836</f>
        <v>6404.8360000000002</v>
      </c>
      <c r="DR128">
        <f>6193.883</f>
        <v>6193.8829999999998</v>
      </c>
      <c r="DS128">
        <f>6179.146</f>
        <v>6179.1459999999997</v>
      </c>
      <c r="DT128">
        <f>5959.479</f>
        <v>5959.4790000000003</v>
      </c>
      <c r="DU128" t="str">
        <f>""</f>
        <v/>
      </c>
    </row>
    <row r="129" spans="1:125" x14ac:dyDescent="0.25">
      <c r="A129" t="str">
        <f>"            Zions Bancorp NA"</f>
        <v xml:space="preserve">            Zions Bancorp NA</v>
      </c>
      <c r="B129" t="str">
        <f>"ZION US Equity"</f>
        <v>ZION US Equity</v>
      </c>
      <c r="C129" t="str">
        <f t="shared" si="16"/>
        <v>FC001</v>
      </c>
      <c r="D129" t="str">
        <f t="shared" si="17"/>
        <v>FDIC_TOTAL_ASSETS</v>
      </c>
      <c r="E129" t="str">
        <f t="shared" si="18"/>
        <v>Dynamic</v>
      </c>
      <c r="F129" t="str">
        <f ca="1">IF(AND(ISNUMBER($F$266),$B$145=1),$F$266,HLOOKUP(INDIRECT(ADDRESS(2,COLUMN())),OFFSET($BN$2,0,0,ROW()-1,60),ROW()-1,FALSE))</f>
        <v/>
      </c>
      <c r="G129" t="str">
        <f ca="1">IF(AND(ISNUMBER($G$266),$B$145=1),$G$266,HLOOKUP(INDIRECT(ADDRESS(2,COLUMN())),OFFSET($BN$2,0,0,ROW()-1,60),ROW()-1,FALSE))</f>
        <v/>
      </c>
      <c r="H129">
        <f ca="1">IF(AND(ISNUMBER($H$266),$B$145=1),$H$266,HLOOKUP(INDIRECT(ADDRESS(2,COLUMN())),OFFSET($BN$2,0,0,ROW()-1,60),ROW()-1,FALSE))</f>
        <v>87605.789000000004</v>
      </c>
      <c r="I129">
        <f ca="1">IF(AND(ISNUMBER($I$266),$B$145=1),$I$266,HLOOKUP(INDIRECT(ADDRESS(2,COLUMN())),OFFSET($BN$2,0,0,ROW()-1,60),ROW()-1,FALSE))</f>
        <v>87060.372000000003</v>
      </c>
      <c r="J129">
        <f ca="1">IF(AND(ISNUMBER($J$266),$B$145=1),$J$266,HLOOKUP(INDIRECT(ADDRESS(2,COLUMN())),OFFSET($BN$2,0,0,ROW()-1,60),ROW()-1,FALSE))</f>
        <v>87202.697</v>
      </c>
      <c r="K129">
        <f ca="1">IF(AND(ISNUMBER($K$266),$B$145=1),$K$266,HLOOKUP(INDIRECT(ADDRESS(2,COLUMN())),OFFSET($BN$2,0,0,ROW()-1,60),ROW()-1,FALSE))</f>
        <v>87269.125</v>
      </c>
      <c r="L129">
        <f ca="1">IF(AND(ISNUMBER($L$266),$B$145=1),$L$266,HLOOKUP(INDIRECT(ADDRESS(2,COLUMN())),OFFSET($BN$2,0,0,ROW()-1,60),ROW()-1,FALSE))</f>
        <v>87230.273000000001</v>
      </c>
      <c r="M129">
        <f ca="1">IF(AND(ISNUMBER($M$266),$B$145=1),$M$266,HLOOKUP(INDIRECT(ADDRESS(2,COLUMN())),OFFSET($BN$2,0,0,ROW()-1,60),ROW()-1,FALSE))</f>
        <v>88573.532999999996</v>
      </c>
      <c r="N129">
        <f ca="1">IF(AND(ISNUMBER($N$266),$B$145=1),$N$266,HLOOKUP(INDIRECT(ADDRESS(2,COLUMN())),OFFSET($BN$2,0,0,ROW()-1,60),ROW()-1,FALSE))</f>
        <v>89544.918999999994</v>
      </c>
      <c r="O129">
        <f ca="1">IF(AND(ISNUMBER($O$266),$B$145=1),$O$266,HLOOKUP(INDIRECT(ADDRESS(2,COLUMN())),OFFSET($BN$2,0,0,ROW()-1,60),ROW()-1,FALSE))</f>
        <v>88474.569000000003</v>
      </c>
      <c r="P129">
        <f ca="1">IF(AND(ISNUMBER($P$266),$B$145=1),$P$266,HLOOKUP(INDIRECT(ADDRESS(2,COLUMN())),OFFSET($BN$2,0,0,ROW()-1,60),ROW()-1,FALSE))</f>
        <v>87783.903000000006</v>
      </c>
      <c r="Q129">
        <f ca="1">IF(AND(ISNUMBER($Q$266),$B$145=1),$Q$266,HLOOKUP(INDIRECT(ADDRESS(2,COLUMN())),OFFSET($BN$2,0,0,ROW()-1,60),ROW()-1,FALSE))</f>
        <v>91125.751000000004</v>
      </c>
      <c r="R129">
        <f ca="1">IF(AND(ISNUMBER($R$266),$B$145=1),$R$266,HLOOKUP(INDIRECT(ADDRESS(2,COLUMN())),OFFSET($BN$2,0,0,ROW()-1,60),ROW()-1,FALSE))</f>
        <v>93199.668999999994</v>
      </c>
      <c r="S129">
        <f ca="1">IF(AND(ISNUMBER($S$266),$B$145=1),$S$266,HLOOKUP(INDIRECT(ADDRESS(2,COLUMN())),OFFSET($BN$2,0,0,ROW()-1,60),ROW()-1,FALSE))</f>
        <v>88306.255999999994</v>
      </c>
      <c r="T129">
        <f ca="1">IF(AND(ISNUMBER($T$266),$B$145=1),$T$266,HLOOKUP(INDIRECT(ADDRESS(2,COLUMN())),OFFSET($BN$2,0,0,ROW()-1,60),ROW()-1,FALSE))</f>
        <v>87208.406000000003</v>
      </c>
      <c r="U129">
        <f ca="1">IF(AND(ISNUMBER($U$266),$B$145=1),$U$266,HLOOKUP(INDIRECT(ADDRESS(2,COLUMN())),OFFSET($BN$2,0,0,ROW()-1,60),ROW()-1,FALSE))</f>
        <v>85120.865999999995</v>
      </c>
      <c r="V129" t="str">
        <f ca="1">IF(AND(ISNUMBER($V$266),$B$145=1),$V$266,HLOOKUP(INDIRECT(ADDRESS(2,COLUMN())),OFFSET($BN$2,0,0,ROW()-1,60),ROW()-1,FALSE))</f>
        <v/>
      </c>
      <c r="W129" t="str">
        <f ca="1">IF(AND(ISNUMBER($W$266),$B$145=1),$W$266,HLOOKUP(INDIRECT(ADDRESS(2,COLUMN())),OFFSET($BN$2,0,0,ROW()-1,60),ROW()-1,FALSE))</f>
        <v/>
      </c>
      <c r="X129" t="str">
        <f ca="1">IF(AND(ISNUMBER($X$266),$B$145=1),$X$266,HLOOKUP(INDIRECT(ADDRESS(2,COLUMN())),OFFSET($BN$2,0,0,ROW()-1,60),ROW()-1,FALSE))</f>
        <v/>
      </c>
      <c r="Y129" t="str">
        <f ca="1">IF(AND(ISNUMBER($Y$266),$B$145=1),$Y$266,HLOOKUP(INDIRECT(ADDRESS(2,COLUMN())),OFFSET($BN$2,0,0,ROW()-1,60),ROW()-1,FALSE))</f>
        <v/>
      </c>
      <c r="Z129" t="str">
        <f ca="1">IF(AND(ISNUMBER($Z$266),$B$145=1),$Z$266,HLOOKUP(INDIRECT(ADDRESS(2,COLUMN())),OFFSET($BN$2,0,0,ROW()-1,60),ROW()-1,FALSE))</f>
        <v/>
      </c>
      <c r="AA129" t="str">
        <f ca="1">IF(AND(ISNUMBER($AA$266),$B$145=1),$AA$266,HLOOKUP(INDIRECT(ADDRESS(2,COLUMN())),OFFSET($BN$2,0,0,ROW()-1,60),ROW()-1,FALSE))</f>
        <v/>
      </c>
      <c r="AB129" t="str">
        <f ca="1">IF(AND(ISNUMBER($AB$266),$B$145=1),$AB$266,HLOOKUP(INDIRECT(ADDRESS(2,COLUMN())),OFFSET($BN$2,0,0,ROW()-1,60),ROW()-1,FALSE))</f>
        <v/>
      </c>
      <c r="AC129" t="str">
        <f ca="1">IF(AND(ISNUMBER($AC$266),$B$145=1),$AC$266,HLOOKUP(INDIRECT(ADDRESS(2,COLUMN())),OFFSET($BN$2,0,0,ROW()-1,60),ROW()-1,FALSE))</f>
        <v/>
      </c>
      <c r="AD129" t="str">
        <f ca="1">IF(AND(ISNUMBER($AD$266),$B$145=1),$AD$266,HLOOKUP(INDIRECT(ADDRESS(2,COLUMN())),OFFSET($BN$2,0,0,ROW()-1,60),ROW()-1,FALSE))</f>
        <v/>
      </c>
      <c r="AE129" t="str">
        <f ca="1">IF(AND(ISNUMBER($AE$266),$B$145=1),$AE$266,HLOOKUP(INDIRECT(ADDRESS(2,COLUMN())),OFFSET($BN$2,0,0,ROW()-1,60),ROW()-1,FALSE))</f>
        <v/>
      </c>
      <c r="AF129" t="str">
        <f ca="1">IF(AND(ISNUMBER($AF$266),$B$145=1),$AF$266,HLOOKUP(INDIRECT(ADDRESS(2,COLUMN())),OFFSET($BN$2,0,0,ROW()-1,60),ROW()-1,FALSE))</f>
        <v/>
      </c>
      <c r="AG129" t="str">
        <f ca="1">IF(AND(ISNUMBER($AG$266),$B$145=1),$AG$266,HLOOKUP(INDIRECT(ADDRESS(2,COLUMN())),OFFSET($BN$2,0,0,ROW()-1,60),ROW()-1,FALSE))</f>
        <v/>
      </c>
      <c r="AH129" t="str">
        <f ca="1">IF(AND(ISNUMBER($AH$266),$B$145=1),$AH$266,HLOOKUP(INDIRECT(ADDRESS(2,COLUMN())),OFFSET($BN$2,0,0,ROW()-1,60),ROW()-1,FALSE))</f>
        <v/>
      </c>
      <c r="AI129" t="str">
        <f ca="1">IF(AND(ISNUMBER($AI$266),$B$145=1),$AI$266,HLOOKUP(INDIRECT(ADDRESS(2,COLUMN())),OFFSET($BN$2,0,0,ROW()-1,60),ROW()-1,FALSE))</f>
        <v/>
      </c>
      <c r="AJ129" t="str">
        <f ca="1">IF(AND(ISNUMBER($AJ$266),$B$145=1),$AJ$266,HLOOKUP(INDIRECT(ADDRESS(2,COLUMN())),OFFSET($BN$2,0,0,ROW()-1,60),ROW()-1,FALSE))</f>
        <v/>
      </c>
      <c r="AK129" t="str">
        <f ca="1">IF(AND(ISNUMBER($AK$266),$B$145=1),$AK$266,HLOOKUP(INDIRECT(ADDRESS(2,COLUMN())),OFFSET($BN$2,0,0,ROW()-1,60),ROW()-1,FALSE))</f>
        <v/>
      </c>
      <c r="AL129" t="str">
        <f ca="1">IF(AND(ISNUMBER($AL$266),$B$145=1),$AL$266,HLOOKUP(INDIRECT(ADDRESS(2,COLUMN())),OFFSET($BN$2,0,0,ROW()-1,60),ROW()-1,FALSE))</f>
        <v/>
      </c>
      <c r="AM129" t="str">
        <f ca="1">IF(AND(ISNUMBER($AM$266),$B$145=1),$AM$266,HLOOKUP(INDIRECT(ADDRESS(2,COLUMN())),OFFSET($BN$2,0,0,ROW()-1,60),ROW()-1,FALSE))</f>
        <v/>
      </c>
      <c r="AN129" t="str">
        <f ca="1">IF(AND(ISNUMBER($AN$266),$B$145=1),$AN$266,HLOOKUP(INDIRECT(ADDRESS(2,COLUMN())),OFFSET($BN$2,0,0,ROW()-1,60),ROW()-1,FALSE))</f>
        <v/>
      </c>
      <c r="AO129" t="str">
        <f ca="1">IF(AND(ISNUMBER($AO$266),$B$145=1),$AO$266,HLOOKUP(INDIRECT(ADDRESS(2,COLUMN())),OFFSET($BN$2,0,0,ROW()-1,60),ROW()-1,FALSE))</f>
        <v/>
      </c>
      <c r="AP129" t="str">
        <f ca="1">IF(AND(ISNUMBER($AP$266),$B$145=1),$AP$266,HLOOKUP(INDIRECT(ADDRESS(2,COLUMN())),OFFSET($BN$2,0,0,ROW()-1,60),ROW()-1,FALSE))</f>
        <v/>
      </c>
      <c r="AQ129" t="str">
        <f ca="1">IF(AND(ISNUMBER($AQ$266),$B$145=1),$AQ$266,HLOOKUP(INDIRECT(ADDRESS(2,COLUMN())),OFFSET($BN$2,0,0,ROW()-1,60),ROW()-1,FALSE))</f>
        <v/>
      </c>
      <c r="AR129" t="str">
        <f ca="1">IF(AND(ISNUMBER($AR$266),$B$145=1),$AR$266,HLOOKUP(INDIRECT(ADDRESS(2,COLUMN())),OFFSET($BN$2,0,0,ROW()-1,60),ROW()-1,FALSE))</f>
        <v/>
      </c>
      <c r="AS129" t="str">
        <f ca="1">IF(AND(ISNUMBER($AS$266),$B$145=1),$AS$266,HLOOKUP(INDIRECT(ADDRESS(2,COLUMN())),OFFSET($BN$2,0,0,ROW()-1,60),ROW()-1,FALSE))</f>
        <v/>
      </c>
      <c r="AT129" t="str">
        <f ca="1">IF(AND(ISNUMBER($AT$266),$B$145=1),$AT$266,HLOOKUP(INDIRECT(ADDRESS(2,COLUMN())),OFFSET($BN$2,0,0,ROW()-1,60),ROW()-1,FALSE))</f>
        <v/>
      </c>
      <c r="AU129" t="str">
        <f ca="1">IF(AND(ISNUMBER($AU$266),$B$145=1),$AU$266,HLOOKUP(INDIRECT(ADDRESS(2,COLUMN())),OFFSET($BN$2,0,0,ROW()-1,60),ROW()-1,FALSE))</f>
        <v/>
      </c>
      <c r="AV129" t="str">
        <f ca="1">IF(AND(ISNUMBER($AV$266),$B$145=1),$AV$266,HLOOKUP(INDIRECT(ADDRESS(2,COLUMN())),OFFSET($BN$2,0,0,ROW()-1,60),ROW()-1,FALSE))</f>
        <v/>
      </c>
      <c r="AW129" t="str">
        <f ca="1">IF(AND(ISNUMBER($AW$266),$B$145=1),$AW$266,HLOOKUP(INDIRECT(ADDRESS(2,COLUMN())),OFFSET($BN$2,0,0,ROW()-1,60),ROW()-1,FALSE))</f>
        <v/>
      </c>
      <c r="AX129" t="str">
        <f ca="1">IF(AND(ISNUMBER($AX$266),$B$145=1),$AX$266,HLOOKUP(INDIRECT(ADDRESS(2,COLUMN())),OFFSET($BN$2,0,0,ROW()-1,60),ROW()-1,FALSE))</f>
        <v/>
      </c>
      <c r="AY129" t="str">
        <f ca="1">IF(AND(ISNUMBER($AY$266),$B$145=1),$AY$266,HLOOKUP(INDIRECT(ADDRESS(2,COLUMN())),OFFSET($BN$2,0,0,ROW()-1,60),ROW()-1,FALSE))</f>
        <v/>
      </c>
      <c r="AZ129" t="str">
        <f ca="1">IF(AND(ISNUMBER($AZ$266),$B$145=1),$AZ$266,HLOOKUP(INDIRECT(ADDRESS(2,COLUMN())),OFFSET($BN$2,0,0,ROW()-1,60),ROW()-1,FALSE))</f>
        <v/>
      </c>
      <c r="BA129" t="str">
        <f ca="1">IF(AND(ISNUMBER($BA$266),$B$145=1),$BA$266,HLOOKUP(INDIRECT(ADDRESS(2,COLUMN())),OFFSET($BN$2,0,0,ROW()-1,60),ROW()-1,FALSE))</f>
        <v/>
      </c>
      <c r="BB129" t="str">
        <f ca="1">IF(AND(ISNUMBER($BB$266),$B$145=1),$BB$266,HLOOKUP(INDIRECT(ADDRESS(2,COLUMN())),OFFSET($BN$2,0,0,ROW()-1,60),ROW()-1,FALSE))</f>
        <v/>
      </c>
      <c r="BC129" t="str">
        <f ca="1">IF(AND(ISNUMBER($BC$266),$B$145=1),$BC$266,HLOOKUP(INDIRECT(ADDRESS(2,COLUMN())),OFFSET($BN$2,0,0,ROW()-1,60),ROW()-1,FALSE))</f>
        <v/>
      </c>
      <c r="BD129" t="str">
        <f ca="1">IF(AND(ISNUMBER($BD$266),$B$145=1),$BD$266,HLOOKUP(INDIRECT(ADDRESS(2,COLUMN())),OFFSET($BN$2,0,0,ROW()-1,60),ROW()-1,FALSE))</f>
        <v/>
      </c>
      <c r="BE129" t="str">
        <f ca="1">IF(AND(ISNUMBER($BE$266),$B$145=1),$BE$266,HLOOKUP(INDIRECT(ADDRESS(2,COLUMN())),OFFSET($BN$2,0,0,ROW()-1,60),ROW()-1,FALSE))</f>
        <v/>
      </c>
      <c r="BF129" t="str">
        <f ca="1">IF(AND(ISNUMBER($BF$266),$B$145=1),$BF$266,HLOOKUP(INDIRECT(ADDRESS(2,COLUMN())),OFFSET($BN$2,0,0,ROW()-1,60),ROW()-1,FALSE))</f>
        <v/>
      </c>
      <c r="BG129" t="str">
        <f ca="1">IF(AND(ISNUMBER($BG$266),$B$145=1),$BG$266,HLOOKUP(INDIRECT(ADDRESS(2,COLUMN())),OFFSET($BN$2,0,0,ROW()-1,60),ROW()-1,FALSE))</f>
        <v/>
      </c>
      <c r="BH129" t="str">
        <f ca="1">IF(AND(ISNUMBER($BH$266),$B$145=1),$BH$266,HLOOKUP(INDIRECT(ADDRESS(2,COLUMN())),OFFSET($BN$2,0,0,ROW()-1,60),ROW()-1,FALSE))</f>
        <v/>
      </c>
      <c r="BI129" t="str">
        <f ca="1">IF(AND(ISNUMBER($BI$266),$B$145=1),$BI$266,HLOOKUP(INDIRECT(ADDRESS(2,COLUMN())),OFFSET($BN$2,0,0,ROW()-1,60),ROW()-1,FALSE))</f>
        <v/>
      </c>
      <c r="BJ129" t="str">
        <f ca="1">IF(AND(ISNUMBER($BJ$266),$B$145=1),$BJ$266,HLOOKUP(INDIRECT(ADDRESS(2,COLUMN())),OFFSET($BN$2,0,0,ROW()-1,60),ROW()-1,FALSE))</f>
        <v/>
      </c>
      <c r="BK129" t="str">
        <f ca="1">IF(AND(ISNUMBER($BK$266),$B$145=1),$BK$266,HLOOKUP(INDIRECT(ADDRESS(2,COLUMN())),OFFSET($BN$2,0,0,ROW()-1,60),ROW()-1,FALSE))</f>
        <v/>
      </c>
      <c r="BL129" t="str">
        <f ca="1">IF(AND(ISNUMBER($BL$266),$B$145=1),$BL$266,HLOOKUP(INDIRECT(ADDRESS(2,COLUMN())),OFFSET($BN$2,0,0,ROW()-1,60),ROW()-1,FALSE))</f>
        <v/>
      </c>
      <c r="BM129" t="str">
        <f ca="1">IF(AND(ISNUMBER($BM$266),$B$145=1),$BM$266,HLOOKUP(INDIRECT(ADDRESS(2,COLUMN())),OFFSET($BN$2,0,0,ROW()-1,60),ROW()-1,FALSE))</f>
        <v/>
      </c>
      <c r="BN129" t="str">
        <f>""</f>
        <v/>
      </c>
      <c r="BO129" t="str">
        <f>""</f>
        <v/>
      </c>
      <c r="BP129">
        <f>87605.789</f>
        <v>87605.789000000004</v>
      </c>
      <c r="BQ129">
        <f>87060.372</f>
        <v>87060.372000000003</v>
      </c>
      <c r="BR129">
        <f>87202.697</f>
        <v>87202.697</v>
      </c>
      <c r="BS129">
        <f>87269.125</f>
        <v>87269.125</v>
      </c>
      <c r="BT129">
        <f>87230.273</f>
        <v>87230.273000000001</v>
      </c>
      <c r="BU129">
        <f>88573.533</f>
        <v>88573.532999999996</v>
      </c>
      <c r="BV129">
        <f>89544.919</f>
        <v>89544.918999999994</v>
      </c>
      <c r="BW129">
        <f>88474.569</f>
        <v>88474.569000000003</v>
      </c>
      <c r="BX129">
        <f>87783.903</f>
        <v>87783.903000000006</v>
      </c>
      <c r="BY129">
        <f>91125.751</f>
        <v>91125.751000000004</v>
      </c>
      <c r="BZ129">
        <f>93199.669</f>
        <v>93199.668999999994</v>
      </c>
      <c r="CA129">
        <f>88306.256</f>
        <v>88306.255999999994</v>
      </c>
      <c r="CB129">
        <f>87208.406</f>
        <v>87208.406000000003</v>
      </c>
      <c r="CC129">
        <f>85120.866</f>
        <v>85120.865999999995</v>
      </c>
      <c r="CD129" t="str">
        <f>""</f>
        <v/>
      </c>
      <c r="CE129" t="str">
        <f>""</f>
        <v/>
      </c>
      <c r="CF129" t="str">
        <f>""</f>
        <v/>
      </c>
      <c r="CG129" t="str">
        <f>""</f>
        <v/>
      </c>
      <c r="CH129" t="str">
        <f>""</f>
        <v/>
      </c>
      <c r="CI129" t="str">
        <f>""</f>
        <v/>
      </c>
      <c r="CJ129" t="str">
        <f>""</f>
        <v/>
      </c>
      <c r="CK129" t="str">
        <f>""</f>
        <v/>
      </c>
      <c r="CL129" t="str">
        <f>""</f>
        <v/>
      </c>
      <c r="CM129" t="str">
        <f>""</f>
        <v/>
      </c>
      <c r="CN129" t="str">
        <f>""</f>
        <v/>
      </c>
      <c r="CO129" t="str">
        <f>""</f>
        <v/>
      </c>
      <c r="CP129" t="str">
        <f>""</f>
        <v/>
      </c>
      <c r="CQ129" t="str">
        <f>""</f>
        <v/>
      </c>
      <c r="CR129" t="str">
        <f>""</f>
        <v/>
      </c>
      <c r="CS129" t="str">
        <f>""</f>
        <v/>
      </c>
      <c r="CT129" t="str">
        <f>""</f>
        <v/>
      </c>
      <c r="CU129" t="str">
        <f>""</f>
        <v/>
      </c>
      <c r="CV129" t="str">
        <f>""</f>
        <v/>
      </c>
      <c r="CW129" t="str">
        <f>""</f>
        <v/>
      </c>
      <c r="CX129" t="str">
        <f>""</f>
        <v/>
      </c>
      <c r="CY129" t="str">
        <f>""</f>
        <v/>
      </c>
      <c r="CZ129" t="str">
        <f>""</f>
        <v/>
      </c>
      <c r="DA129" t="str">
        <f>""</f>
        <v/>
      </c>
      <c r="DB129" t="str">
        <f>""</f>
        <v/>
      </c>
      <c r="DC129" t="str">
        <f>""</f>
        <v/>
      </c>
      <c r="DD129" t="str">
        <f>""</f>
        <v/>
      </c>
      <c r="DE129" t="str">
        <f>""</f>
        <v/>
      </c>
      <c r="DF129" t="str">
        <f>""</f>
        <v/>
      </c>
      <c r="DG129" t="str">
        <f>""</f>
        <v/>
      </c>
      <c r="DH129" t="str">
        <f>""</f>
        <v/>
      </c>
      <c r="DI129" t="str">
        <f>""</f>
        <v/>
      </c>
      <c r="DJ129" t="str">
        <f>""</f>
        <v/>
      </c>
      <c r="DK129" t="str">
        <f>""</f>
        <v/>
      </c>
      <c r="DL129" t="str">
        <f>""</f>
        <v/>
      </c>
      <c r="DM129" t="str">
        <f>""</f>
        <v/>
      </c>
      <c r="DN129" t="str">
        <f>""</f>
        <v/>
      </c>
      <c r="DO129" t="str">
        <f>""</f>
        <v/>
      </c>
      <c r="DP129" t="str">
        <f>""</f>
        <v/>
      </c>
      <c r="DQ129" t="str">
        <f>""</f>
        <v/>
      </c>
      <c r="DR129" t="str">
        <f>""</f>
        <v/>
      </c>
      <c r="DS129" t="str">
        <f>""</f>
        <v/>
      </c>
      <c r="DT129" t="str">
        <f>""</f>
        <v/>
      </c>
      <c r="DU129" t="str">
        <f>""</f>
        <v/>
      </c>
    </row>
    <row r="130" spans="1:125" x14ac:dyDescent="0.25">
      <c r="BN130" t="str">
        <f>""</f>
        <v/>
      </c>
      <c r="BO130" t="str">
        <f>""</f>
        <v/>
      </c>
      <c r="BP130" t="str">
        <f>""</f>
        <v/>
      </c>
      <c r="BQ130" t="str">
        <f>""</f>
        <v/>
      </c>
      <c r="BR130" t="str">
        <f>""</f>
        <v/>
      </c>
      <c r="BS130" t="str">
        <f>""</f>
        <v/>
      </c>
      <c r="BT130" t="str">
        <f>""</f>
        <v/>
      </c>
      <c r="BU130" t="str">
        <f>""</f>
        <v/>
      </c>
      <c r="BV130" t="str">
        <f>""</f>
        <v/>
      </c>
      <c r="BW130" t="str">
        <f>""</f>
        <v/>
      </c>
      <c r="BX130" t="str">
        <f>""</f>
        <v/>
      </c>
      <c r="BY130" t="str">
        <f>""</f>
        <v/>
      </c>
      <c r="BZ130" t="str">
        <f>""</f>
        <v/>
      </c>
      <c r="CA130" t="str">
        <f>""</f>
        <v/>
      </c>
      <c r="CB130" t="str">
        <f>""</f>
        <v/>
      </c>
      <c r="CC130" t="str">
        <f>""</f>
        <v/>
      </c>
      <c r="CD130" t="str">
        <f>""</f>
        <v/>
      </c>
      <c r="CE130" t="str">
        <f>""</f>
        <v/>
      </c>
      <c r="CF130" t="str">
        <f>""</f>
        <v/>
      </c>
      <c r="CG130" t="str">
        <f>""</f>
        <v/>
      </c>
      <c r="CH130" t="str">
        <f>""</f>
        <v/>
      </c>
      <c r="CI130" t="str">
        <f>""</f>
        <v/>
      </c>
      <c r="CJ130" t="str">
        <f>""</f>
        <v/>
      </c>
      <c r="CK130" t="str">
        <f>""</f>
        <v/>
      </c>
      <c r="CL130" t="str">
        <f>""</f>
        <v/>
      </c>
      <c r="CM130" t="str">
        <f>""</f>
        <v/>
      </c>
      <c r="CN130" t="str">
        <f>""</f>
        <v/>
      </c>
      <c r="CO130" t="str">
        <f>""</f>
        <v/>
      </c>
      <c r="CP130" t="str">
        <f>""</f>
        <v/>
      </c>
      <c r="CQ130" t="str">
        <f>""</f>
        <v/>
      </c>
      <c r="CR130" t="str">
        <f>""</f>
        <v/>
      </c>
      <c r="CS130" t="str">
        <f>""</f>
        <v/>
      </c>
      <c r="CT130" t="str">
        <f>""</f>
        <v/>
      </c>
      <c r="CU130" t="str">
        <f>""</f>
        <v/>
      </c>
      <c r="CV130" t="str">
        <f>""</f>
        <v/>
      </c>
      <c r="CW130" t="str">
        <f>""</f>
        <v/>
      </c>
      <c r="CX130" t="str">
        <f>""</f>
        <v/>
      </c>
      <c r="CY130" t="str">
        <f>""</f>
        <v/>
      </c>
      <c r="CZ130" t="str">
        <f>""</f>
        <v/>
      </c>
      <c r="DA130" t="str">
        <f>""</f>
        <v/>
      </c>
      <c r="DB130" t="str">
        <f>""</f>
        <v/>
      </c>
      <c r="DC130" t="str">
        <f>""</f>
        <v/>
      </c>
      <c r="DD130" t="str">
        <f>""</f>
        <v/>
      </c>
      <c r="DE130" t="str">
        <f>""</f>
        <v/>
      </c>
      <c r="DF130" t="str">
        <f>""</f>
        <v/>
      </c>
      <c r="DG130" t="str">
        <f>""</f>
        <v/>
      </c>
      <c r="DH130" t="str">
        <f>""</f>
        <v/>
      </c>
      <c r="DI130" t="str">
        <f>""</f>
        <v/>
      </c>
      <c r="DJ130" t="str">
        <f>""</f>
        <v/>
      </c>
      <c r="DK130" t="str">
        <f>""</f>
        <v/>
      </c>
      <c r="DL130" t="str">
        <f>""</f>
        <v/>
      </c>
      <c r="DM130" t="str">
        <f>""</f>
        <v/>
      </c>
      <c r="DN130" t="str">
        <f>""</f>
        <v/>
      </c>
      <c r="DO130" t="str">
        <f>""</f>
        <v/>
      </c>
      <c r="DP130" t="str">
        <f>""</f>
        <v/>
      </c>
      <c r="DQ130" t="str">
        <f>""</f>
        <v/>
      </c>
      <c r="DR130" t="str">
        <f>""</f>
        <v/>
      </c>
      <c r="DS130" t="str">
        <f>""</f>
        <v/>
      </c>
      <c r="DT130" t="str">
        <f>""</f>
        <v/>
      </c>
      <c r="DU130" t="str">
        <f>""</f>
        <v/>
      </c>
    </row>
    <row r="131" spans="1:125" x14ac:dyDescent="0.25">
      <c r="BN131" t="str">
        <f>""</f>
        <v/>
      </c>
      <c r="BO131" t="str">
        <f>""</f>
        <v/>
      </c>
      <c r="BP131" t="str">
        <f>""</f>
        <v/>
      </c>
      <c r="BQ131" t="str">
        <f>""</f>
        <v/>
      </c>
      <c r="BR131" t="str">
        <f>""</f>
        <v/>
      </c>
      <c r="BS131" t="str">
        <f>""</f>
        <v/>
      </c>
      <c r="BT131" t="str">
        <f>""</f>
        <v/>
      </c>
      <c r="BU131" t="str">
        <f>""</f>
        <v/>
      </c>
      <c r="BV131" t="str">
        <f>""</f>
        <v/>
      </c>
      <c r="BW131" t="str">
        <f>""</f>
        <v/>
      </c>
      <c r="BX131" t="str">
        <f>""</f>
        <v/>
      </c>
      <c r="BY131" t="str">
        <f>""</f>
        <v/>
      </c>
      <c r="BZ131" t="str">
        <f>""</f>
        <v/>
      </c>
      <c r="CA131" t="str">
        <f>""</f>
        <v/>
      </c>
      <c r="CB131" t="str">
        <f>""</f>
        <v/>
      </c>
      <c r="CC131" t="str">
        <f>""</f>
        <v/>
      </c>
      <c r="CD131" t="str">
        <f>""</f>
        <v/>
      </c>
      <c r="CE131" t="str">
        <f>""</f>
        <v/>
      </c>
      <c r="CF131" t="str">
        <f>""</f>
        <v/>
      </c>
      <c r="CG131" t="str">
        <f>""</f>
        <v/>
      </c>
      <c r="CH131" t="str">
        <f>""</f>
        <v/>
      </c>
      <c r="CI131" t="str">
        <f>""</f>
        <v/>
      </c>
      <c r="CJ131" t="str">
        <f>""</f>
        <v/>
      </c>
      <c r="CK131" t="str">
        <f>""</f>
        <v/>
      </c>
      <c r="CL131" t="str">
        <f>""</f>
        <v/>
      </c>
      <c r="CM131" t="str">
        <f>""</f>
        <v/>
      </c>
      <c r="CN131" t="str">
        <f>""</f>
        <v/>
      </c>
      <c r="CO131" t="str">
        <f>""</f>
        <v/>
      </c>
      <c r="CP131" t="str">
        <f>""</f>
        <v/>
      </c>
      <c r="CQ131" t="str">
        <f>""</f>
        <v/>
      </c>
      <c r="CR131" t="str">
        <f>""</f>
        <v/>
      </c>
      <c r="CS131" t="str">
        <f>""</f>
        <v/>
      </c>
      <c r="CT131" t="str">
        <f>""</f>
        <v/>
      </c>
      <c r="CU131" t="str">
        <f>""</f>
        <v/>
      </c>
      <c r="CV131" t="str">
        <f>""</f>
        <v/>
      </c>
      <c r="CW131" t="str">
        <f>""</f>
        <v/>
      </c>
      <c r="CX131" t="str">
        <f>""</f>
        <v/>
      </c>
      <c r="CY131" t="str">
        <f>""</f>
        <v/>
      </c>
      <c r="CZ131" t="str">
        <f>""</f>
        <v/>
      </c>
      <c r="DA131" t="str">
        <f>""</f>
        <v/>
      </c>
      <c r="DB131" t="str">
        <f>""</f>
        <v/>
      </c>
      <c r="DC131" t="str">
        <f>""</f>
        <v/>
      </c>
      <c r="DD131" t="str">
        <f>""</f>
        <v/>
      </c>
      <c r="DE131" t="str">
        <f>""</f>
        <v/>
      </c>
      <c r="DF131" t="str">
        <f>""</f>
        <v/>
      </c>
      <c r="DG131" t="str">
        <f>""</f>
        <v/>
      </c>
      <c r="DH131" t="str">
        <f>""</f>
        <v/>
      </c>
      <c r="DI131" t="str">
        <f>""</f>
        <v/>
      </c>
      <c r="DJ131" t="str">
        <f>""</f>
        <v/>
      </c>
      <c r="DK131" t="str">
        <f>""</f>
        <v/>
      </c>
      <c r="DL131" t="str">
        <f>""</f>
        <v/>
      </c>
      <c r="DM131" t="str">
        <f>""</f>
        <v/>
      </c>
      <c r="DN131" t="str">
        <f>""</f>
        <v/>
      </c>
      <c r="DO131" t="str">
        <f>""</f>
        <v/>
      </c>
      <c r="DP131" t="str">
        <f>""</f>
        <v/>
      </c>
      <c r="DQ131" t="str">
        <f>""</f>
        <v/>
      </c>
      <c r="DR131" t="str">
        <f>""</f>
        <v/>
      </c>
      <c r="DS131" t="str">
        <f>""</f>
        <v/>
      </c>
      <c r="DT131" t="str">
        <f>""</f>
        <v/>
      </c>
      <c r="DU131" t="str">
        <f>""</f>
        <v/>
      </c>
    </row>
    <row r="132" spans="1:125" x14ac:dyDescent="0.25">
      <c r="BN132" t="str">
        <f>""</f>
        <v/>
      </c>
      <c r="BO132" t="str">
        <f>""</f>
        <v/>
      </c>
      <c r="BP132" t="str">
        <f>""</f>
        <v/>
      </c>
      <c r="BQ132" t="str">
        <f>""</f>
        <v/>
      </c>
      <c r="BR132" t="str">
        <f>""</f>
        <v/>
      </c>
      <c r="BS132" t="str">
        <f>""</f>
        <v/>
      </c>
      <c r="BT132" t="str">
        <f>""</f>
        <v/>
      </c>
      <c r="BU132" t="str">
        <f>""</f>
        <v/>
      </c>
      <c r="BV132" t="str">
        <f>""</f>
        <v/>
      </c>
      <c r="BW132" t="str">
        <f>""</f>
        <v/>
      </c>
      <c r="BX132" t="str">
        <f>""</f>
        <v/>
      </c>
      <c r="BY132" t="str">
        <f>""</f>
        <v/>
      </c>
      <c r="BZ132" t="str">
        <f>""</f>
        <v/>
      </c>
      <c r="CA132" t="str">
        <f>""</f>
        <v/>
      </c>
      <c r="CB132" t="str">
        <f>""</f>
        <v/>
      </c>
      <c r="CC132" t="str">
        <f>""</f>
        <v/>
      </c>
      <c r="CD132" t="str">
        <f>""</f>
        <v/>
      </c>
      <c r="CE132" t="str">
        <f>""</f>
        <v/>
      </c>
      <c r="CF132" t="str">
        <f>""</f>
        <v/>
      </c>
      <c r="CG132" t="str">
        <f>""</f>
        <v/>
      </c>
      <c r="CH132" t="str">
        <f>""</f>
        <v/>
      </c>
      <c r="CI132" t="str">
        <f>""</f>
        <v/>
      </c>
      <c r="CJ132" t="str">
        <f>""</f>
        <v/>
      </c>
      <c r="CK132" t="str">
        <f>""</f>
        <v/>
      </c>
      <c r="CL132" t="str">
        <f>""</f>
        <v/>
      </c>
      <c r="CM132" t="str">
        <f>""</f>
        <v/>
      </c>
      <c r="CN132" t="str">
        <f>""</f>
        <v/>
      </c>
      <c r="CO132" t="str">
        <f>""</f>
        <v/>
      </c>
      <c r="CP132" t="str">
        <f>""</f>
        <v/>
      </c>
      <c r="CQ132" t="str">
        <f>""</f>
        <v/>
      </c>
      <c r="CR132" t="str">
        <f>""</f>
        <v/>
      </c>
      <c r="CS132" t="str">
        <f>""</f>
        <v/>
      </c>
      <c r="CT132" t="str">
        <f>""</f>
        <v/>
      </c>
      <c r="CU132" t="str">
        <f>""</f>
        <v/>
      </c>
      <c r="CV132" t="str">
        <f>""</f>
        <v/>
      </c>
      <c r="CW132" t="str">
        <f>""</f>
        <v/>
      </c>
      <c r="CX132" t="str">
        <f>""</f>
        <v/>
      </c>
      <c r="CY132" t="str">
        <f>""</f>
        <v/>
      </c>
      <c r="CZ132" t="str">
        <f>""</f>
        <v/>
      </c>
      <c r="DA132" t="str">
        <f>""</f>
        <v/>
      </c>
      <c r="DB132" t="str">
        <f>""</f>
        <v/>
      </c>
      <c r="DC132" t="str">
        <f>""</f>
        <v/>
      </c>
      <c r="DD132" t="str">
        <f>""</f>
        <v/>
      </c>
      <c r="DE132" t="str">
        <f>""</f>
        <v/>
      </c>
      <c r="DF132" t="str">
        <f>""</f>
        <v/>
      </c>
      <c r="DG132" t="str">
        <f>""</f>
        <v/>
      </c>
      <c r="DH132" t="str">
        <f>""</f>
        <v/>
      </c>
      <c r="DI132" t="str">
        <f>""</f>
        <v/>
      </c>
      <c r="DJ132" t="str">
        <f>""</f>
        <v/>
      </c>
      <c r="DK132" t="str">
        <f>""</f>
        <v/>
      </c>
      <c r="DL132" t="str">
        <f>""</f>
        <v/>
      </c>
      <c r="DM132" t="str">
        <f>""</f>
        <v/>
      </c>
      <c r="DN132" t="str">
        <f>""</f>
        <v/>
      </c>
      <c r="DO132" t="str">
        <f>""</f>
        <v/>
      </c>
      <c r="DP132" t="str">
        <f>""</f>
        <v/>
      </c>
      <c r="DQ132" t="str">
        <f>""</f>
        <v/>
      </c>
      <c r="DR132" t="str">
        <f>""</f>
        <v/>
      </c>
      <c r="DS132" t="str">
        <f>""</f>
        <v/>
      </c>
      <c r="DT132" t="str">
        <f>""</f>
        <v/>
      </c>
      <c r="DU132" t="str">
        <f>""</f>
        <v/>
      </c>
    </row>
    <row r="133" spans="1:125" x14ac:dyDescent="0.25">
      <c r="BN133" t="str">
        <f>""</f>
        <v/>
      </c>
      <c r="BO133" t="str">
        <f>""</f>
        <v/>
      </c>
      <c r="BP133" t="str">
        <f>""</f>
        <v/>
      </c>
      <c r="BQ133" t="str">
        <f>""</f>
        <v/>
      </c>
      <c r="BR133" t="str">
        <f>""</f>
        <v/>
      </c>
      <c r="BS133" t="str">
        <f>""</f>
        <v/>
      </c>
      <c r="BT133" t="str">
        <f>""</f>
        <v/>
      </c>
      <c r="BU133" t="str">
        <f>""</f>
        <v/>
      </c>
      <c r="BV133" t="str">
        <f>""</f>
        <v/>
      </c>
      <c r="BW133" t="str">
        <f>""</f>
        <v/>
      </c>
      <c r="BX133" t="str">
        <f>""</f>
        <v/>
      </c>
      <c r="BY133" t="str">
        <f>""</f>
        <v/>
      </c>
      <c r="BZ133" t="str">
        <f>""</f>
        <v/>
      </c>
      <c r="CA133" t="str">
        <f>""</f>
        <v/>
      </c>
      <c r="CB133" t="str">
        <f>""</f>
        <v/>
      </c>
      <c r="CC133" t="str">
        <f>""</f>
        <v/>
      </c>
      <c r="CD133" t="str">
        <f>""</f>
        <v/>
      </c>
      <c r="CE133" t="str">
        <f>""</f>
        <v/>
      </c>
      <c r="CF133" t="str">
        <f>""</f>
        <v/>
      </c>
      <c r="CG133" t="str">
        <f>""</f>
        <v/>
      </c>
      <c r="CH133" t="str">
        <f>""</f>
        <v/>
      </c>
      <c r="CI133" t="str">
        <f>""</f>
        <v/>
      </c>
      <c r="CJ133" t="str">
        <f>""</f>
        <v/>
      </c>
      <c r="CK133" t="str">
        <f>""</f>
        <v/>
      </c>
      <c r="CL133" t="str">
        <f>""</f>
        <v/>
      </c>
      <c r="CM133" t="str">
        <f>""</f>
        <v/>
      </c>
      <c r="CN133" t="str">
        <f>""</f>
        <v/>
      </c>
      <c r="CO133" t="str">
        <f>""</f>
        <v/>
      </c>
      <c r="CP133" t="str">
        <f>""</f>
        <v/>
      </c>
      <c r="CQ133" t="str">
        <f>""</f>
        <v/>
      </c>
      <c r="CR133" t="str">
        <f>""</f>
        <v/>
      </c>
      <c r="CS133" t="str">
        <f>""</f>
        <v/>
      </c>
      <c r="CT133" t="str">
        <f>""</f>
        <v/>
      </c>
      <c r="CU133" t="str">
        <f>""</f>
        <v/>
      </c>
      <c r="CV133" t="str">
        <f>""</f>
        <v/>
      </c>
      <c r="CW133" t="str">
        <f>""</f>
        <v/>
      </c>
      <c r="CX133" t="str">
        <f>""</f>
        <v/>
      </c>
      <c r="CY133" t="str">
        <f>""</f>
        <v/>
      </c>
      <c r="CZ133" t="str">
        <f>""</f>
        <v/>
      </c>
      <c r="DA133" t="str">
        <f>""</f>
        <v/>
      </c>
      <c r="DB133" t="str">
        <f>""</f>
        <v/>
      </c>
      <c r="DC133" t="str">
        <f>""</f>
        <v/>
      </c>
      <c r="DD133" t="str">
        <f>""</f>
        <v/>
      </c>
      <c r="DE133" t="str">
        <f>""</f>
        <v/>
      </c>
      <c r="DF133" t="str">
        <f>""</f>
        <v/>
      </c>
      <c r="DG133" t="str">
        <f>""</f>
        <v/>
      </c>
      <c r="DH133" t="str">
        <f>""</f>
        <v/>
      </c>
      <c r="DI133" t="str">
        <f>""</f>
        <v/>
      </c>
      <c r="DJ133" t="str">
        <f>""</f>
        <v/>
      </c>
      <c r="DK133" t="str">
        <f>""</f>
        <v/>
      </c>
      <c r="DL133" t="str">
        <f>""</f>
        <v/>
      </c>
      <c r="DM133" t="str">
        <f>""</f>
        <v/>
      </c>
      <c r="DN133" t="str">
        <f>""</f>
        <v/>
      </c>
      <c r="DO133" t="str">
        <f>""</f>
        <v/>
      </c>
      <c r="DP133" t="str">
        <f>""</f>
        <v/>
      </c>
      <c r="DQ133" t="str">
        <f>""</f>
        <v/>
      </c>
      <c r="DR133" t="str">
        <f>""</f>
        <v/>
      </c>
      <c r="DS133" t="str">
        <f>""</f>
        <v/>
      </c>
      <c r="DT133" t="str">
        <f>""</f>
        <v/>
      </c>
      <c r="DU133" t="str">
        <f>""</f>
        <v/>
      </c>
    </row>
    <row r="134" spans="1:125" x14ac:dyDescent="0.25">
      <c r="BN134" t="str">
        <f>""</f>
        <v/>
      </c>
      <c r="BO134" t="str">
        <f>""</f>
        <v/>
      </c>
      <c r="BP134" t="str">
        <f>""</f>
        <v/>
      </c>
      <c r="BQ134" t="str">
        <f>""</f>
        <v/>
      </c>
      <c r="BR134" t="str">
        <f>""</f>
        <v/>
      </c>
      <c r="BS134" t="str">
        <f>""</f>
        <v/>
      </c>
      <c r="BT134" t="str">
        <f>""</f>
        <v/>
      </c>
      <c r="BU134" t="str">
        <f>""</f>
        <v/>
      </c>
      <c r="BV134" t="str">
        <f>""</f>
        <v/>
      </c>
      <c r="BW134" t="str">
        <f>""</f>
        <v/>
      </c>
      <c r="BX134" t="str">
        <f>""</f>
        <v/>
      </c>
      <c r="BY134" t="str">
        <f>""</f>
        <v/>
      </c>
      <c r="BZ134" t="str">
        <f>""</f>
        <v/>
      </c>
      <c r="CA134" t="str">
        <f>""</f>
        <v/>
      </c>
      <c r="CB134" t="str">
        <f>""</f>
        <v/>
      </c>
      <c r="CC134" t="str">
        <f>""</f>
        <v/>
      </c>
      <c r="CD134" t="str">
        <f>""</f>
        <v/>
      </c>
      <c r="CE134" t="str">
        <f>""</f>
        <v/>
      </c>
      <c r="CF134" t="str">
        <f>""</f>
        <v/>
      </c>
      <c r="CG134" t="str">
        <f>""</f>
        <v/>
      </c>
      <c r="CH134" t="str">
        <f>""</f>
        <v/>
      </c>
      <c r="CI134" t="str">
        <f>""</f>
        <v/>
      </c>
      <c r="CJ134" t="str">
        <f>""</f>
        <v/>
      </c>
      <c r="CK134" t="str">
        <f>""</f>
        <v/>
      </c>
      <c r="CL134" t="str">
        <f>""</f>
        <v/>
      </c>
      <c r="CM134" t="str">
        <f>""</f>
        <v/>
      </c>
      <c r="CN134" t="str">
        <f>""</f>
        <v/>
      </c>
      <c r="CO134" t="str">
        <f>""</f>
        <v/>
      </c>
      <c r="CP134" t="str">
        <f>""</f>
        <v/>
      </c>
      <c r="CQ134" t="str">
        <f>""</f>
        <v/>
      </c>
      <c r="CR134" t="str">
        <f>""</f>
        <v/>
      </c>
      <c r="CS134" t="str">
        <f>""</f>
        <v/>
      </c>
      <c r="CT134" t="str">
        <f>""</f>
        <v/>
      </c>
      <c r="CU134" t="str">
        <f>""</f>
        <v/>
      </c>
      <c r="CV134" t="str">
        <f>""</f>
        <v/>
      </c>
      <c r="CW134" t="str">
        <f>""</f>
        <v/>
      </c>
      <c r="CX134" t="str">
        <f>""</f>
        <v/>
      </c>
      <c r="CY134" t="str">
        <f>""</f>
        <v/>
      </c>
      <c r="CZ134" t="str">
        <f>""</f>
        <v/>
      </c>
      <c r="DA134" t="str">
        <f>""</f>
        <v/>
      </c>
      <c r="DB134" t="str">
        <f>""</f>
        <v/>
      </c>
      <c r="DC134" t="str">
        <f>""</f>
        <v/>
      </c>
      <c r="DD134" t="str">
        <f>""</f>
        <v/>
      </c>
      <c r="DE134" t="str">
        <f>""</f>
        <v/>
      </c>
      <c r="DF134" t="str">
        <f>""</f>
        <v/>
      </c>
      <c r="DG134" t="str">
        <f>""</f>
        <v/>
      </c>
      <c r="DH134" t="str">
        <f>""</f>
        <v/>
      </c>
      <c r="DI134" t="str">
        <f>""</f>
        <v/>
      </c>
      <c r="DJ134" t="str">
        <f>""</f>
        <v/>
      </c>
      <c r="DK134" t="str">
        <f>""</f>
        <v/>
      </c>
      <c r="DL134" t="str">
        <f>""</f>
        <v/>
      </c>
      <c r="DM134" t="str">
        <f>""</f>
        <v/>
      </c>
      <c r="DN134" t="str">
        <f>""</f>
        <v/>
      </c>
      <c r="DO134" t="str">
        <f>""</f>
        <v/>
      </c>
      <c r="DP134" t="str">
        <f>""</f>
        <v/>
      </c>
      <c r="DQ134" t="str">
        <f>""</f>
        <v/>
      </c>
      <c r="DR134" t="str">
        <f>""</f>
        <v/>
      </c>
      <c r="DS134" t="str">
        <f>""</f>
        <v/>
      </c>
      <c r="DT134" t="str">
        <f>""</f>
        <v/>
      </c>
      <c r="DU134" t="str">
        <f>""</f>
        <v/>
      </c>
    </row>
    <row r="135" spans="1:125" x14ac:dyDescent="0.25">
      <c r="BN135" t="str">
        <f>""</f>
        <v/>
      </c>
      <c r="BO135" t="str">
        <f>""</f>
        <v/>
      </c>
      <c r="BP135" t="str">
        <f>""</f>
        <v/>
      </c>
      <c r="BQ135" t="str">
        <f>""</f>
        <v/>
      </c>
      <c r="BR135" t="str">
        <f>""</f>
        <v/>
      </c>
      <c r="BS135" t="str">
        <f>""</f>
        <v/>
      </c>
      <c r="BT135" t="str">
        <f>""</f>
        <v/>
      </c>
      <c r="BU135" t="str">
        <f>""</f>
        <v/>
      </c>
      <c r="BV135" t="str">
        <f>""</f>
        <v/>
      </c>
      <c r="BW135" t="str">
        <f>""</f>
        <v/>
      </c>
      <c r="BX135" t="str">
        <f>""</f>
        <v/>
      </c>
      <c r="BY135" t="str">
        <f>""</f>
        <v/>
      </c>
      <c r="BZ135" t="str">
        <f>""</f>
        <v/>
      </c>
      <c r="CA135" t="str">
        <f>""</f>
        <v/>
      </c>
      <c r="CB135" t="str">
        <f>""</f>
        <v/>
      </c>
      <c r="CC135" t="str">
        <f>""</f>
        <v/>
      </c>
      <c r="CD135" t="str">
        <f>""</f>
        <v/>
      </c>
      <c r="CE135" t="str">
        <f>""</f>
        <v/>
      </c>
      <c r="CF135" t="str">
        <f>""</f>
        <v/>
      </c>
      <c r="CG135" t="str">
        <f>""</f>
        <v/>
      </c>
      <c r="CH135" t="str">
        <f>""</f>
        <v/>
      </c>
      <c r="CI135" t="str">
        <f>""</f>
        <v/>
      </c>
      <c r="CJ135" t="str">
        <f>""</f>
        <v/>
      </c>
      <c r="CK135" t="str">
        <f>""</f>
        <v/>
      </c>
      <c r="CL135" t="str">
        <f>""</f>
        <v/>
      </c>
      <c r="CM135" t="str">
        <f>""</f>
        <v/>
      </c>
      <c r="CN135" t="str">
        <f>""</f>
        <v/>
      </c>
      <c r="CO135" t="str">
        <f>""</f>
        <v/>
      </c>
      <c r="CP135" t="str">
        <f>""</f>
        <v/>
      </c>
      <c r="CQ135" t="str">
        <f>""</f>
        <v/>
      </c>
      <c r="CR135" t="str">
        <f>""</f>
        <v/>
      </c>
      <c r="CS135" t="str">
        <f>""</f>
        <v/>
      </c>
      <c r="CT135" t="str">
        <f>""</f>
        <v/>
      </c>
      <c r="CU135" t="str">
        <f>""</f>
        <v/>
      </c>
      <c r="CV135" t="str">
        <f>""</f>
        <v/>
      </c>
      <c r="CW135" t="str">
        <f>""</f>
        <v/>
      </c>
      <c r="CX135" t="str">
        <f>""</f>
        <v/>
      </c>
      <c r="CY135" t="str">
        <f>""</f>
        <v/>
      </c>
      <c r="CZ135" t="str">
        <f>""</f>
        <v/>
      </c>
      <c r="DA135" t="str">
        <f>""</f>
        <v/>
      </c>
      <c r="DB135" t="str">
        <f>""</f>
        <v/>
      </c>
      <c r="DC135" t="str">
        <f>""</f>
        <v/>
      </c>
      <c r="DD135" t="str">
        <f>""</f>
        <v/>
      </c>
      <c r="DE135" t="str">
        <f>""</f>
        <v/>
      </c>
      <c r="DF135" t="str">
        <f>""</f>
        <v/>
      </c>
      <c r="DG135" t="str">
        <f>""</f>
        <v/>
      </c>
      <c r="DH135" t="str">
        <f>""</f>
        <v/>
      </c>
      <c r="DI135" t="str">
        <f>""</f>
        <v/>
      </c>
      <c r="DJ135" t="str">
        <f>""</f>
        <v/>
      </c>
      <c r="DK135" t="str">
        <f>""</f>
        <v/>
      </c>
      <c r="DL135" t="str">
        <f>""</f>
        <v/>
      </c>
      <c r="DM135" t="str">
        <f>""</f>
        <v/>
      </c>
      <c r="DN135" t="str">
        <f>""</f>
        <v/>
      </c>
      <c r="DO135" t="str">
        <f>""</f>
        <v/>
      </c>
      <c r="DP135" t="str">
        <f>""</f>
        <v/>
      </c>
      <c r="DQ135" t="str">
        <f>""</f>
        <v/>
      </c>
      <c r="DR135" t="str">
        <f>""</f>
        <v/>
      </c>
      <c r="DS135" t="str">
        <f>""</f>
        <v/>
      </c>
      <c r="DT135" t="str">
        <f>""</f>
        <v/>
      </c>
      <c r="DU135" t="str">
        <f>""</f>
        <v/>
      </c>
    </row>
    <row r="136" spans="1:125" x14ac:dyDescent="0.25">
      <c r="BN136" t="str">
        <f>""</f>
        <v/>
      </c>
      <c r="BO136" t="str">
        <f>""</f>
        <v/>
      </c>
      <c r="BP136" t="str">
        <f>""</f>
        <v/>
      </c>
      <c r="BQ136" t="str">
        <f>""</f>
        <v/>
      </c>
      <c r="BR136" t="str">
        <f>""</f>
        <v/>
      </c>
      <c r="BS136" t="str">
        <f>""</f>
        <v/>
      </c>
      <c r="BT136" t="str">
        <f>""</f>
        <v/>
      </c>
      <c r="BU136" t="str">
        <f>""</f>
        <v/>
      </c>
      <c r="BV136" t="str">
        <f>""</f>
        <v/>
      </c>
      <c r="BW136" t="str">
        <f>""</f>
        <v/>
      </c>
      <c r="BX136" t="str">
        <f>""</f>
        <v/>
      </c>
      <c r="BY136" t="str">
        <f>""</f>
        <v/>
      </c>
      <c r="BZ136" t="str">
        <f>""</f>
        <v/>
      </c>
      <c r="CA136" t="str">
        <f>""</f>
        <v/>
      </c>
      <c r="CB136" t="str">
        <f>""</f>
        <v/>
      </c>
      <c r="CC136" t="str">
        <f>""</f>
        <v/>
      </c>
      <c r="CD136" t="str">
        <f>""</f>
        <v/>
      </c>
      <c r="CE136" t="str">
        <f>""</f>
        <v/>
      </c>
      <c r="CF136" t="str">
        <f>""</f>
        <v/>
      </c>
      <c r="CG136" t="str">
        <f>""</f>
        <v/>
      </c>
      <c r="CH136" t="str">
        <f>""</f>
        <v/>
      </c>
      <c r="CI136" t="str">
        <f>""</f>
        <v/>
      </c>
      <c r="CJ136" t="str">
        <f>""</f>
        <v/>
      </c>
      <c r="CK136" t="str">
        <f>""</f>
        <v/>
      </c>
      <c r="CL136" t="str">
        <f>""</f>
        <v/>
      </c>
      <c r="CM136" t="str">
        <f>""</f>
        <v/>
      </c>
      <c r="CN136" t="str">
        <f>""</f>
        <v/>
      </c>
      <c r="CO136" t="str">
        <f>""</f>
        <v/>
      </c>
      <c r="CP136" t="str">
        <f>""</f>
        <v/>
      </c>
      <c r="CQ136" t="str">
        <f>""</f>
        <v/>
      </c>
      <c r="CR136" t="str">
        <f>""</f>
        <v/>
      </c>
      <c r="CS136" t="str">
        <f>""</f>
        <v/>
      </c>
      <c r="CT136" t="str">
        <f>""</f>
        <v/>
      </c>
      <c r="CU136" t="str">
        <f>""</f>
        <v/>
      </c>
      <c r="CV136" t="str">
        <f>""</f>
        <v/>
      </c>
      <c r="CW136" t="str">
        <f>""</f>
        <v/>
      </c>
      <c r="CX136" t="str">
        <f>""</f>
        <v/>
      </c>
      <c r="CY136" t="str">
        <f>""</f>
        <v/>
      </c>
      <c r="CZ136" t="str">
        <f>""</f>
        <v/>
      </c>
      <c r="DA136" t="str">
        <f>""</f>
        <v/>
      </c>
      <c r="DB136" t="str">
        <f>""</f>
        <v/>
      </c>
      <c r="DC136" t="str">
        <f>""</f>
        <v/>
      </c>
      <c r="DD136" t="str">
        <f>""</f>
        <v/>
      </c>
      <c r="DE136" t="str">
        <f>""</f>
        <v/>
      </c>
      <c r="DF136" t="str">
        <f>""</f>
        <v/>
      </c>
      <c r="DG136" t="str">
        <f>""</f>
        <v/>
      </c>
      <c r="DH136" t="str">
        <f>""</f>
        <v/>
      </c>
      <c r="DI136" t="str">
        <f>""</f>
        <v/>
      </c>
      <c r="DJ136" t="str">
        <f>""</f>
        <v/>
      </c>
      <c r="DK136" t="str">
        <f>""</f>
        <v/>
      </c>
      <c r="DL136" t="str">
        <f>""</f>
        <v/>
      </c>
      <c r="DM136" t="str">
        <f>""</f>
        <v/>
      </c>
      <c r="DN136" t="str">
        <f>""</f>
        <v/>
      </c>
      <c r="DO136" t="str">
        <f>""</f>
        <v/>
      </c>
      <c r="DP136" t="str">
        <f>""</f>
        <v/>
      </c>
      <c r="DQ136" t="str">
        <f>""</f>
        <v/>
      </c>
      <c r="DR136" t="str">
        <f>""</f>
        <v/>
      </c>
      <c r="DS136" t="str">
        <f>""</f>
        <v/>
      </c>
      <c r="DT136" t="str">
        <f>""</f>
        <v/>
      </c>
      <c r="DU136" t="str">
        <f>""</f>
        <v/>
      </c>
    </row>
    <row r="137" spans="1:125" x14ac:dyDescent="0.25">
      <c r="A137" t="str">
        <f t="shared" ref="A137:AF137" si="19">"~~~~~~~~~~"</f>
        <v>~~~~~~~~~~</v>
      </c>
      <c r="B137" t="str">
        <f t="shared" si="19"/>
        <v>~~~~~~~~~~</v>
      </c>
      <c r="C137" t="str">
        <f t="shared" si="19"/>
        <v>~~~~~~~~~~</v>
      </c>
      <c r="D137" t="str">
        <f t="shared" si="19"/>
        <v>~~~~~~~~~~</v>
      </c>
      <c r="E137" t="str">
        <f t="shared" si="19"/>
        <v>~~~~~~~~~~</v>
      </c>
      <c r="F137" t="str">
        <f t="shared" si="19"/>
        <v>~~~~~~~~~~</v>
      </c>
      <c r="G137" t="str">
        <f t="shared" si="19"/>
        <v>~~~~~~~~~~</v>
      </c>
      <c r="H137" t="str">
        <f t="shared" si="19"/>
        <v>~~~~~~~~~~</v>
      </c>
      <c r="I137" t="str">
        <f t="shared" si="19"/>
        <v>~~~~~~~~~~</v>
      </c>
      <c r="J137" t="str">
        <f t="shared" si="19"/>
        <v>~~~~~~~~~~</v>
      </c>
      <c r="K137" t="str">
        <f t="shared" si="19"/>
        <v>~~~~~~~~~~</v>
      </c>
      <c r="L137" t="str">
        <f t="shared" si="19"/>
        <v>~~~~~~~~~~</v>
      </c>
      <c r="M137" t="str">
        <f t="shared" si="19"/>
        <v>~~~~~~~~~~</v>
      </c>
      <c r="N137" t="str">
        <f t="shared" si="19"/>
        <v>~~~~~~~~~~</v>
      </c>
      <c r="O137" t="str">
        <f t="shared" si="19"/>
        <v>~~~~~~~~~~</v>
      </c>
      <c r="P137" t="str">
        <f t="shared" si="19"/>
        <v>~~~~~~~~~~</v>
      </c>
      <c r="Q137" t="str">
        <f t="shared" si="19"/>
        <v>~~~~~~~~~~</v>
      </c>
      <c r="R137" t="str">
        <f t="shared" si="19"/>
        <v>~~~~~~~~~~</v>
      </c>
      <c r="S137" t="str">
        <f t="shared" si="19"/>
        <v>~~~~~~~~~~</v>
      </c>
      <c r="T137" t="str">
        <f t="shared" si="19"/>
        <v>~~~~~~~~~~</v>
      </c>
      <c r="U137" t="str">
        <f t="shared" si="19"/>
        <v>~~~~~~~~~~</v>
      </c>
      <c r="V137" t="str">
        <f t="shared" si="19"/>
        <v>~~~~~~~~~~</v>
      </c>
      <c r="W137" t="str">
        <f t="shared" si="19"/>
        <v>~~~~~~~~~~</v>
      </c>
      <c r="X137" t="str">
        <f t="shared" si="19"/>
        <v>~~~~~~~~~~</v>
      </c>
      <c r="Y137" t="str">
        <f t="shared" si="19"/>
        <v>~~~~~~~~~~</v>
      </c>
      <c r="Z137" t="str">
        <f t="shared" si="19"/>
        <v>~~~~~~~~~~</v>
      </c>
      <c r="AA137" t="str">
        <f t="shared" si="19"/>
        <v>~~~~~~~~~~</v>
      </c>
      <c r="AB137" t="str">
        <f t="shared" si="19"/>
        <v>~~~~~~~~~~</v>
      </c>
      <c r="AC137" t="str">
        <f t="shared" si="19"/>
        <v>~~~~~~~~~~</v>
      </c>
      <c r="AD137" t="str">
        <f t="shared" si="19"/>
        <v>~~~~~~~~~~</v>
      </c>
      <c r="AE137" t="str">
        <f t="shared" si="19"/>
        <v>~~~~~~~~~~</v>
      </c>
      <c r="AF137" t="str">
        <f t="shared" si="19"/>
        <v>~~~~~~~~~~</v>
      </c>
      <c r="AG137" t="str">
        <f t="shared" ref="AG137:BM137" si="20">"~~~~~~~~~~"</f>
        <v>~~~~~~~~~~</v>
      </c>
      <c r="AH137" t="str">
        <f t="shared" si="20"/>
        <v>~~~~~~~~~~</v>
      </c>
      <c r="AI137" t="str">
        <f t="shared" si="20"/>
        <v>~~~~~~~~~~</v>
      </c>
      <c r="AJ137" t="str">
        <f t="shared" si="20"/>
        <v>~~~~~~~~~~</v>
      </c>
      <c r="AK137" t="str">
        <f t="shared" si="20"/>
        <v>~~~~~~~~~~</v>
      </c>
      <c r="AL137" t="str">
        <f t="shared" si="20"/>
        <v>~~~~~~~~~~</v>
      </c>
      <c r="AM137" t="str">
        <f t="shared" si="20"/>
        <v>~~~~~~~~~~</v>
      </c>
      <c r="AN137" t="str">
        <f t="shared" si="20"/>
        <v>~~~~~~~~~~</v>
      </c>
      <c r="AO137" t="str">
        <f t="shared" si="20"/>
        <v>~~~~~~~~~~</v>
      </c>
      <c r="AP137" t="str">
        <f t="shared" si="20"/>
        <v>~~~~~~~~~~</v>
      </c>
      <c r="AQ137" t="str">
        <f t="shared" si="20"/>
        <v>~~~~~~~~~~</v>
      </c>
      <c r="AR137" t="str">
        <f t="shared" si="20"/>
        <v>~~~~~~~~~~</v>
      </c>
      <c r="AS137" t="str">
        <f t="shared" si="20"/>
        <v>~~~~~~~~~~</v>
      </c>
      <c r="AT137" t="str">
        <f t="shared" si="20"/>
        <v>~~~~~~~~~~</v>
      </c>
      <c r="AU137" t="str">
        <f t="shared" si="20"/>
        <v>~~~~~~~~~~</v>
      </c>
      <c r="AV137" t="str">
        <f t="shared" si="20"/>
        <v>~~~~~~~~~~</v>
      </c>
      <c r="AW137" t="str">
        <f t="shared" si="20"/>
        <v>~~~~~~~~~~</v>
      </c>
      <c r="AX137" t="str">
        <f t="shared" si="20"/>
        <v>~~~~~~~~~~</v>
      </c>
      <c r="AY137" t="str">
        <f t="shared" si="20"/>
        <v>~~~~~~~~~~</v>
      </c>
      <c r="AZ137" t="str">
        <f t="shared" si="20"/>
        <v>~~~~~~~~~~</v>
      </c>
      <c r="BA137" t="str">
        <f t="shared" si="20"/>
        <v>~~~~~~~~~~</v>
      </c>
      <c r="BB137" t="str">
        <f t="shared" si="20"/>
        <v>~~~~~~~~~~</v>
      </c>
      <c r="BC137" t="str">
        <f t="shared" si="20"/>
        <v>~~~~~~~~~~</v>
      </c>
      <c r="BD137" t="str">
        <f t="shared" si="20"/>
        <v>~~~~~~~~~~</v>
      </c>
      <c r="BE137" t="str">
        <f t="shared" si="20"/>
        <v>~~~~~~~~~~</v>
      </c>
      <c r="BF137" t="str">
        <f t="shared" si="20"/>
        <v>~~~~~~~~~~</v>
      </c>
      <c r="BG137" t="str">
        <f t="shared" si="20"/>
        <v>~~~~~~~~~~</v>
      </c>
      <c r="BH137" t="str">
        <f t="shared" si="20"/>
        <v>~~~~~~~~~~</v>
      </c>
      <c r="BI137" t="str">
        <f t="shared" si="20"/>
        <v>~~~~~~~~~~</v>
      </c>
      <c r="BJ137" t="str">
        <f t="shared" si="20"/>
        <v>~~~~~~~~~~</v>
      </c>
      <c r="BK137" t="str">
        <f t="shared" si="20"/>
        <v>~~~~~~~~~~</v>
      </c>
      <c r="BL137" t="str">
        <f t="shared" si="20"/>
        <v>~~~~~~~~~~</v>
      </c>
      <c r="BM137" t="str">
        <f t="shared" si="20"/>
        <v>~~~~~~~~~~</v>
      </c>
      <c r="BN137" t="str">
        <f>""</f>
        <v/>
      </c>
      <c r="BO137" t="str">
        <f>""</f>
        <v/>
      </c>
      <c r="BP137" t="str">
        <f>""</f>
        <v/>
      </c>
      <c r="BQ137" t="str">
        <f>""</f>
        <v/>
      </c>
      <c r="BR137" t="str">
        <f>""</f>
        <v/>
      </c>
      <c r="BS137" t="str">
        <f>""</f>
        <v/>
      </c>
      <c r="BT137" t="str">
        <f>""</f>
        <v/>
      </c>
      <c r="BU137" t="str">
        <f>""</f>
        <v/>
      </c>
      <c r="BV137" t="str">
        <f>""</f>
        <v/>
      </c>
      <c r="BW137" t="str">
        <f>""</f>
        <v/>
      </c>
      <c r="BX137" t="str">
        <f>""</f>
        <v/>
      </c>
      <c r="BY137" t="str">
        <f>""</f>
        <v/>
      </c>
      <c r="BZ137" t="str">
        <f>""</f>
        <v/>
      </c>
      <c r="CA137" t="str">
        <f>""</f>
        <v/>
      </c>
      <c r="CB137" t="str">
        <f>""</f>
        <v/>
      </c>
      <c r="CC137" t="str">
        <f>""</f>
        <v/>
      </c>
      <c r="CD137" t="str">
        <f>""</f>
        <v/>
      </c>
      <c r="CE137" t="str">
        <f>""</f>
        <v/>
      </c>
      <c r="CF137" t="str">
        <f>""</f>
        <v/>
      </c>
      <c r="CG137" t="str">
        <f>""</f>
        <v/>
      </c>
      <c r="CH137" t="str">
        <f>""</f>
        <v/>
      </c>
      <c r="CI137" t="str">
        <f>""</f>
        <v/>
      </c>
      <c r="CJ137" t="str">
        <f>""</f>
        <v/>
      </c>
      <c r="CK137" t="str">
        <f>""</f>
        <v/>
      </c>
      <c r="CL137" t="str">
        <f>""</f>
        <v/>
      </c>
      <c r="CM137" t="str">
        <f>""</f>
        <v/>
      </c>
      <c r="CN137" t="str">
        <f>""</f>
        <v/>
      </c>
      <c r="CO137" t="str">
        <f>""</f>
        <v/>
      </c>
      <c r="CP137" t="str">
        <f>""</f>
        <v/>
      </c>
      <c r="CQ137" t="str">
        <f>""</f>
        <v/>
      </c>
      <c r="CR137" t="str">
        <f>""</f>
        <v/>
      </c>
      <c r="CS137" t="str">
        <f>""</f>
        <v/>
      </c>
      <c r="CT137" t="str">
        <f>""</f>
        <v/>
      </c>
      <c r="CU137" t="str">
        <f>""</f>
        <v/>
      </c>
      <c r="CV137" t="str">
        <f>""</f>
        <v/>
      </c>
      <c r="CW137" t="str">
        <f>""</f>
        <v/>
      </c>
      <c r="CX137" t="str">
        <f>""</f>
        <v/>
      </c>
      <c r="CY137" t="str">
        <f>""</f>
        <v/>
      </c>
      <c r="CZ137" t="str">
        <f>""</f>
        <v/>
      </c>
      <c r="DA137" t="str">
        <f>""</f>
        <v/>
      </c>
      <c r="DB137" t="str">
        <f>""</f>
        <v/>
      </c>
      <c r="DC137" t="str">
        <f>""</f>
        <v/>
      </c>
      <c r="DD137" t="str">
        <f>""</f>
        <v/>
      </c>
      <c r="DE137" t="str">
        <f>""</f>
        <v/>
      </c>
      <c r="DF137" t="str">
        <f>""</f>
        <v/>
      </c>
      <c r="DG137" t="str">
        <f>""</f>
        <v/>
      </c>
      <c r="DH137" t="str">
        <f>""</f>
        <v/>
      </c>
      <c r="DI137" t="str">
        <f>""</f>
        <v/>
      </c>
      <c r="DJ137" t="str">
        <f>""</f>
        <v/>
      </c>
      <c r="DK137" t="str">
        <f>""</f>
        <v/>
      </c>
      <c r="DL137" t="str">
        <f>""</f>
        <v/>
      </c>
      <c r="DM137" t="str">
        <f>""</f>
        <v/>
      </c>
      <c r="DN137" t="str">
        <f>""</f>
        <v/>
      </c>
      <c r="DO137" t="str">
        <f>""</f>
        <v/>
      </c>
      <c r="DP137" t="str">
        <f>""</f>
        <v/>
      </c>
      <c r="DQ137" t="str">
        <f>""</f>
        <v/>
      </c>
      <c r="DR137" t="str">
        <f>""</f>
        <v/>
      </c>
      <c r="DS137" t="str">
        <f>""</f>
        <v/>
      </c>
      <c r="DT137" t="str">
        <f>""</f>
        <v/>
      </c>
      <c r="DU137" t="str">
        <f>""</f>
        <v/>
      </c>
    </row>
    <row r="138" spans="1:125" x14ac:dyDescent="0.25">
      <c r="A138" t="str">
        <f>"All rows below have been added for reference by formula rows above."</f>
        <v>All rows below have been added for reference by formula rows above.</v>
      </c>
      <c r="BN138" t="str">
        <f>""</f>
        <v/>
      </c>
      <c r="BO138" t="str">
        <f>""</f>
        <v/>
      </c>
      <c r="BP138" t="str">
        <f>""</f>
        <v/>
      </c>
      <c r="BQ138" t="str">
        <f>""</f>
        <v/>
      </c>
      <c r="BR138" t="str">
        <f>""</f>
        <v/>
      </c>
      <c r="BS138" t="str">
        <f>""</f>
        <v/>
      </c>
      <c r="BT138" t="str">
        <f>""</f>
        <v/>
      </c>
      <c r="BU138" t="str">
        <f>""</f>
        <v/>
      </c>
      <c r="BV138" t="str">
        <f>""</f>
        <v/>
      </c>
      <c r="BW138" t="str">
        <f>""</f>
        <v/>
      </c>
      <c r="BX138" t="str">
        <f>""</f>
        <v/>
      </c>
      <c r="BY138" t="str">
        <f>""</f>
        <v/>
      </c>
      <c r="BZ138" t="str">
        <f>""</f>
        <v/>
      </c>
      <c r="CA138" t="str">
        <f>""</f>
        <v/>
      </c>
      <c r="CB138" t="str">
        <f>""</f>
        <v/>
      </c>
      <c r="CC138" t="str">
        <f>""</f>
        <v/>
      </c>
      <c r="CD138" t="str">
        <f>""</f>
        <v/>
      </c>
      <c r="CE138" t="str">
        <f>""</f>
        <v/>
      </c>
      <c r="CF138" t="str">
        <f>""</f>
        <v/>
      </c>
      <c r="CG138" t="str">
        <f>""</f>
        <v/>
      </c>
      <c r="CH138" t="str">
        <f>""</f>
        <v/>
      </c>
      <c r="CI138" t="str">
        <f>""</f>
        <v/>
      </c>
      <c r="CJ138" t="str">
        <f>""</f>
        <v/>
      </c>
      <c r="CK138" t="str">
        <f>""</f>
        <v/>
      </c>
      <c r="CL138" t="str">
        <f>""</f>
        <v/>
      </c>
      <c r="CM138" t="str">
        <f>""</f>
        <v/>
      </c>
      <c r="CN138" t="str">
        <f>""</f>
        <v/>
      </c>
      <c r="CO138" t="str">
        <f>""</f>
        <v/>
      </c>
      <c r="CP138" t="str">
        <f>""</f>
        <v/>
      </c>
      <c r="CQ138" t="str">
        <f>""</f>
        <v/>
      </c>
      <c r="CR138" t="str">
        <f>""</f>
        <v/>
      </c>
      <c r="CS138" t="str">
        <f>""</f>
        <v/>
      </c>
      <c r="CT138" t="str">
        <f>""</f>
        <v/>
      </c>
      <c r="CU138" t="str">
        <f>""</f>
        <v/>
      </c>
      <c r="CV138" t="str">
        <f>""</f>
        <v/>
      </c>
      <c r="CW138" t="str">
        <f>""</f>
        <v/>
      </c>
      <c r="CX138" t="str">
        <f>""</f>
        <v/>
      </c>
      <c r="CY138" t="str">
        <f>""</f>
        <v/>
      </c>
      <c r="CZ138" t="str">
        <f>""</f>
        <v/>
      </c>
      <c r="DA138" t="str">
        <f>""</f>
        <v/>
      </c>
      <c r="DB138" t="str">
        <f>""</f>
        <v/>
      </c>
      <c r="DC138" t="str">
        <f>""</f>
        <v/>
      </c>
      <c r="DD138" t="str">
        <f>""</f>
        <v/>
      </c>
      <c r="DE138" t="str">
        <f>""</f>
        <v/>
      </c>
      <c r="DF138" t="str">
        <f>""</f>
        <v/>
      </c>
      <c r="DG138" t="str">
        <f>""</f>
        <v/>
      </c>
      <c r="DH138" t="str">
        <f>""</f>
        <v/>
      </c>
      <c r="DI138" t="str">
        <f>""</f>
        <v/>
      </c>
      <c r="DJ138" t="str">
        <f>""</f>
        <v/>
      </c>
      <c r="DK138" t="str">
        <f>""</f>
        <v/>
      </c>
      <c r="DL138" t="str">
        <f>""</f>
        <v/>
      </c>
      <c r="DM138" t="str">
        <f>""</f>
        <v/>
      </c>
      <c r="DN138" t="str">
        <f>""</f>
        <v/>
      </c>
      <c r="DO138" t="str">
        <f>""</f>
        <v/>
      </c>
      <c r="DP138" t="str">
        <f>""</f>
        <v/>
      </c>
      <c r="DQ138" t="str">
        <f>""</f>
        <v/>
      </c>
      <c r="DR138" t="str">
        <f>""</f>
        <v/>
      </c>
      <c r="DS138" t="str">
        <f>""</f>
        <v/>
      </c>
      <c r="DT138" t="str">
        <f>""</f>
        <v/>
      </c>
      <c r="DU138" t="str">
        <f>""</f>
        <v/>
      </c>
    </row>
    <row r="139" spans="1:125" x14ac:dyDescent="0.25">
      <c r="A139">
        <f>RTD("bloomberg.ccyreader", "", "#track", "DBG", "BIHITX", "1.0","RepeatHit")</f>
        <v>0</v>
      </c>
      <c r="BN139" t="str">
        <f>""</f>
        <v/>
      </c>
      <c r="BO139" t="str">
        <f>""</f>
        <v/>
      </c>
      <c r="BP139" t="str">
        <f>""</f>
        <v/>
      </c>
      <c r="BQ139" t="str">
        <f>""</f>
        <v/>
      </c>
      <c r="BR139" t="str">
        <f>""</f>
        <v/>
      </c>
      <c r="BS139" t="str">
        <f>""</f>
        <v/>
      </c>
      <c r="BT139" t="str">
        <f>""</f>
        <v/>
      </c>
      <c r="BU139" t="str">
        <f>""</f>
        <v/>
      </c>
      <c r="BV139" t="str">
        <f>""</f>
        <v/>
      </c>
      <c r="BW139" t="str">
        <f>""</f>
        <v/>
      </c>
      <c r="BX139" t="str">
        <f>""</f>
        <v/>
      </c>
      <c r="BY139" t="str">
        <f>""</f>
        <v/>
      </c>
      <c r="BZ139" t="str">
        <f>""</f>
        <v/>
      </c>
      <c r="CA139" t="str">
        <f>""</f>
        <v/>
      </c>
      <c r="CB139" t="str">
        <f>""</f>
        <v/>
      </c>
      <c r="CC139" t="str">
        <f>""</f>
        <v/>
      </c>
      <c r="CD139" t="str">
        <f>""</f>
        <v/>
      </c>
      <c r="CE139" t="str">
        <f>""</f>
        <v/>
      </c>
      <c r="CF139" t="str">
        <f>""</f>
        <v/>
      </c>
      <c r="CG139" t="str">
        <f>""</f>
        <v/>
      </c>
      <c r="CH139" t="str">
        <f>""</f>
        <v/>
      </c>
      <c r="CI139" t="str">
        <f>""</f>
        <v/>
      </c>
      <c r="CJ139" t="str">
        <f>""</f>
        <v/>
      </c>
      <c r="CK139" t="str">
        <f>""</f>
        <v/>
      </c>
      <c r="CL139" t="str">
        <f>""</f>
        <v/>
      </c>
      <c r="CM139" t="str">
        <f>""</f>
        <v/>
      </c>
      <c r="CN139" t="str">
        <f>""</f>
        <v/>
      </c>
      <c r="CO139" t="str">
        <f>""</f>
        <v/>
      </c>
      <c r="CP139" t="str">
        <f>""</f>
        <v/>
      </c>
      <c r="CQ139" t="str">
        <f>""</f>
        <v/>
      </c>
      <c r="CR139" t="str">
        <f>""</f>
        <v/>
      </c>
      <c r="CS139" t="str">
        <f>""</f>
        <v/>
      </c>
      <c r="CT139" t="str">
        <f>""</f>
        <v/>
      </c>
      <c r="CU139" t="str">
        <f>""</f>
        <v/>
      </c>
      <c r="CV139" t="str">
        <f>""</f>
        <v/>
      </c>
      <c r="CW139" t="str">
        <f>""</f>
        <v/>
      </c>
      <c r="CX139" t="str">
        <f>""</f>
        <v/>
      </c>
      <c r="CY139" t="str">
        <f>""</f>
        <v/>
      </c>
      <c r="CZ139" t="str">
        <f>""</f>
        <v/>
      </c>
      <c r="DA139" t="str">
        <f>""</f>
        <v/>
      </c>
      <c r="DB139" t="str">
        <f>""</f>
        <v/>
      </c>
      <c r="DC139" t="str">
        <f>""</f>
        <v/>
      </c>
      <c r="DD139" t="str">
        <f>""</f>
        <v/>
      </c>
      <c r="DE139" t="str">
        <f>""</f>
        <v/>
      </c>
      <c r="DF139" t="str">
        <f>""</f>
        <v/>
      </c>
      <c r="DG139" t="str">
        <f>""</f>
        <v/>
      </c>
      <c r="DH139" t="str">
        <f>""</f>
        <v/>
      </c>
      <c r="DI139" t="str">
        <f>""</f>
        <v/>
      </c>
      <c r="DJ139" t="str">
        <f>""</f>
        <v/>
      </c>
      <c r="DK139" t="str">
        <f>""</f>
        <v/>
      </c>
      <c r="DL139" t="str">
        <f>""</f>
        <v/>
      </c>
      <c r="DM139" t="str">
        <f>""</f>
        <v/>
      </c>
      <c r="DN139" t="str">
        <f>""</f>
        <v/>
      </c>
      <c r="DO139" t="str">
        <f>""</f>
        <v/>
      </c>
      <c r="DP139" t="str">
        <f>""</f>
        <v/>
      </c>
      <c r="DQ139" t="str">
        <f>""</f>
        <v/>
      </c>
      <c r="DR139" t="str">
        <f>""</f>
        <v/>
      </c>
      <c r="DS139" t="str">
        <f>""</f>
        <v/>
      </c>
      <c r="DT139" t="str">
        <f>""</f>
        <v/>
      </c>
      <c r="DU139" t="str">
        <f>""</f>
        <v/>
      </c>
    </row>
    <row r="140" spans="1:125" x14ac:dyDescent="0.25">
      <c r="A140" t="str">
        <f>"Currency"</f>
        <v>Currency</v>
      </c>
      <c r="B140" t="str">
        <f>"USD"</f>
        <v>USD</v>
      </c>
      <c r="BN140" t="str">
        <f>""</f>
        <v/>
      </c>
      <c r="BO140" t="str">
        <f>""</f>
        <v/>
      </c>
      <c r="BP140" t="str">
        <f>""</f>
        <v/>
      </c>
      <c r="BQ140" t="str">
        <f>""</f>
        <v/>
      </c>
      <c r="BR140" t="str">
        <f>""</f>
        <v/>
      </c>
      <c r="BS140" t="str">
        <f>""</f>
        <v/>
      </c>
      <c r="BT140" t="str">
        <f>""</f>
        <v/>
      </c>
      <c r="BU140" t="str">
        <f>""</f>
        <v/>
      </c>
      <c r="BV140" t="str">
        <f>""</f>
        <v/>
      </c>
      <c r="BW140" t="str">
        <f>""</f>
        <v/>
      </c>
      <c r="BX140" t="str">
        <f>""</f>
        <v/>
      </c>
      <c r="BY140" t="str">
        <f>""</f>
        <v/>
      </c>
      <c r="BZ140" t="str">
        <f>""</f>
        <v/>
      </c>
      <c r="CA140" t="str">
        <f>""</f>
        <v/>
      </c>
      <c r="CB140" t="str">
        <f>""</f>
        <v/>
      </c>
      <c r="CC140" t="str">
        <f>""</f>
        <v/>
      </c>
      <c r="CD140" t="str">
        <f>""</f>
        <v/>
      </c>
      <c r="CE140" t="str">
        <f>""</f>
        <v/>
      </c>
      <c r="CF140" t="str">
        <f>""</f>
        <v/>
      </c>
      <c r="CG140" t="str">
        <f>""</f>
        <v/>
      </c>
      <c r="CH140" t="str">
        <f>""</f>
        <v/>
      </c>
      <c r="CI140" t="str">
        <f>""</f>
        <v/>
      </c>
      <c r="CJ140" t="str">
        <f>""</f>
        <v/>
      </c>
      <c r="CK140" t="str">
        <f>""</f>
        <v/>
      </c>
      <c r="CL140" t="str">
        <f>""</f>
        <v/>
      </c>
      <c r="CM140" t="str">
        <f>""</f>
        <v/>
      </c>
      <c r="CN140" t="str">
        <f>""</f>
        <v/>
      </c>
      <c r="CO140" t="str">
        <f>""</f>
        <v/>
      </c>
      <c r="CP140" t="str">
        <f>""</f>
        <v/>
      </c>
      <c r="CQ140" t="str">
        <f>""</f>
        <v/>
      </c>
      <c r="CR140" t="str">
        <f>""</f>
        <v/>
      </c>
      <c r="CS140" t="str">
        <f>""</f>
        <v/>
      </c>
      <c r="CT140" t="str">
        <f>""</f>
        <v/>
      </c>
      <c r="CU140" t="str">
        <f>""</f>
        <v/>
      </c>
      <c r="CV140" t="str">
        <f>""</f>
        <v/>
      </c>
      <c r="CW140" t="str">
        <f>""</f>
        <v/>
      </c>
      <c r="CX140" t="str">
        <f>""</f>
        <v/>
      </c>
      <c r="CY140" t="str">
        <f>""</f>
        <v/>
      </c>
      <c r="CZ140" t="str">
        <f>""</f>
        <v/>
      </c>
      <c r="DA140" t="str">
        <f>""</f>
        <v/>
      </c>
      <c r="DB140" t="str">
        <f>""</f>
        <v/>
      </c>
      <c r="DC140" t="str">
        <f>""</f>
        <v/>
      </c>
      <c r="DD140" t="str">
        <f>""</f>
        <v/>
      </c>
      <c r="DE140" t="str">
        <f>""</f>
        <v/>
      </c>
      <c r="DF140" t="str">
        <f>""</f>
        <v/>
      </c>
      <c r="DG140" t="str">
        <f>""</f>
        <v/>
      </c>
      <c r="DH140" t="str">
        <f>""</f>
        <v/>
      </c>
      <c r="DI140" t="str">
        <f>""</f>
        <v/>
      </c>
      <c r="DJ140" t="str">
        <f>""</f>
        <v/>
      </c>
      <c r="DK140" t="str">
        <f>""</f>
        <v/>
      </c>
      <c r="DL140" t="str">
        <f>""</f>
        <v/>
      </c>
      <c r="DM140" t="str">
        <f>""</f>
        <v/>
      </c>
      <c r="DN140" t="str">
        <f>""</f>
        <v/>
      </c>
      <c r="DO140" t="str">
        <f>""</f>
        <v/>
      </c>
      <c r="DP140" t="str">
        <f>""</f>
        <v/>
      </c>
      <c r="DQ140" t="str">
        <f>""</f>
        <v/>
      </c>
      <c r="DR140" t="str">
        <f>""</f>
        <v/>
      </c>
      <c r="DS140" t="str">
        <f>""</f>
        <v/>
      </c>
      <c r="DT140" t="str">
        <f>""</f>
        <v/>
      </c>
      <c r="DU140" t="str">
        <f>""</f>
        <v/>
      </c>
    </row>
    <row r="141" spans="1:125" x14ac:dyDescent="0.25">
      <c r="A141" t="str">
        <f>"Periodicity"</f>
        <v>Periodicity</v>
      </c>
      <c r="B141" t="str">
        <f>"CQ"</f>
        <v>CQ</v>
      </c>
      <c r="C141" t="str">
        <f>"AQ"</f>
        <v>AQ</v>
      </c>
      <c r="BN141" t="str">
        <f>""</f>
        <v/>
      </c>
      <c r="BO141" t="str">
        <f>""</f>
        <v/>
      </c>
      <c r="BP141" t="str">
        <f>""</f>
        <v/>
      </c>
      <c r="BQ141" t="str">
        <f>""</f>
        <v/>
      </c>
      <c r="BR141" t="str">
        <f>""</f>
        <v/>
      </c>
      <c r="BS141" t="str">
        <f>""</f>
        <v/>
      </c>
      <c r="BT141" t="str">
        <f>""</f>
        <v/>
      </c>
      <c r="BU141" t="str">
        <f>""</f>
        <v/>
      </c>
      <c r="BV141" t="str">
        <f>""</f>
        <v/>
      </c>
      <c r="BW141" t="str">
        <f>""</f>
        <v/>
      </c>
      <c r="BX141" t="str">
        <f>""</f>
        <v/>
      </c>
      <c r="BY141" t="str">
        <f>""</f>
        <v/>
      </c>
      <c r="BZ141" t="str">
        <f>""</f>
        <v/>
      </c>
      <c r="CA141" t="str">
        <f>""</f>
        <v/>
      </c>
      <c r="CB141" t="str">
        <f>""</f>
        <v/>
      </c>
      <c r="CC141" t="str">
        <f>""</f>
        <v/>
      </c>
      <c r="CD141" t="str">
        <f>""</f>
        <v/>
      </c>
      <c r="CE141" t="str">
        <f>""</f>
        <v/>
      </c>
      <c r="CF141" t="str">
        <f>""</f>
        <v/>
      </c>
      <c r="CG141" t="str">
        <f>""</f>
        <v/>
      </c>
      <c r="CH141" t="str">
        <f>""</f>
        <v/>
      </c>
      <c r="CI141" t="str">
        <f>""</f>
        <v/>
      </c>
      <c r="CJ141" t="str">
        <f>""</f>
        <v/>
      </c>
      <c r="CK141" t="str">
        <f>""</f>
        <v/>
      </c>
      <c r="CL141" t="str">
        <f>""</f>
        <v/>
      </c>
      <c r="CM141" t="str">
        <f>""</f>
        <v/>
      </c>
      <c r="CN141" t="str">
        <f>""</f>
        <v/>
      </c>
      <c r="CO141" t="str">
        <f>""</f>
        <v/>
      </c>
      <c r="CP141" t="str">
        <f>""</f>
        <v/>
      </c>
      <c r="CQ141" t="str">
        <f>""</f>
        <v/>
      </c>
      <c r="CR141" t="str">
        <f>""</f>
        <v/>
      </c>
      <c r="CS141" t="str">
        <f>""</f>
        <v/>
      </c>
      <c r="CT141" t="str">
        <f>""</f>
        <v/>
      </c>
      <c r="CU141" t="str">
        <f>""</f>
        <v/>
      </c>
      <c r="CV141" t="str">
        <f>""</f>
        <v/>
      </c>
      <c r="CW141" t="str">
        <f>""</f>
        <v/>
      </c>
      <c r="CX141" t="str">
        <f>""</f>
        <v/>
      </c>
      <c r="CY141" t="str">
        <f>""</f>
        <v/>
      </c>
      <c r="CZ141" t="str">
        <f>""</f>
        <v/>
      </c>
      <c r="DA141" t="str">
        <f>""</f>
        <v/>
      </c>
      <c r="DB141" t="str">
        <f>""</f>
        <v/>
      </c>
      <c r="DC141" t="str">
        <f>""</f>
        <v/>
      </c>
      <c r="DD141" t="str">
        <f>""</f>
        <v/>
      </c>
      <c r="DE141" t="str">
        <f>""</f>
        <v/>
      </c>
      <c r="DF141" t="str">
        <f>""</f>
        <v/>
      </c>
      <c r="DG141" t="str">
        <f>""</f>
        <v/>
      </c>
      <c r="DH141" t="str">
        <f>""</f>
        <v/>
      </c>
      <c r="DI141" t="str">
        <f>""</f>
        <v/>
      </c>
      <c r="DJ141" t="str">
        <f>""</f>
        <v/>
      </c>
      <c r="DK141" t="str">
        <f>""</f>
        <v/>
      </c>
      <c r="DL141" t="str">
        <f>""</f>
        <v/>
      </c>
      <c r="DM141" t="str">
        <f>""</f>
        <v/>
      </c>
      <c r="DN141" t="str">
        <f>""</f>
        <v/>
      </c>
      <c r="DO141" t="str">
        <f>""</f>
        <v/>
      </c>
      <c r="DP141" t="str">
        <f>""</f>
        <v/>
      </c>
      <c r="DQ141" t="str">
        <f>""</f>
        <v/>
      </c>
      <c r="DR141" t="str">
        <f>""</f>
        <v/>
      </c>
      <c r="DS141" t="str">
        <f>""</f>
        <v/>
      </c>
      <c r="DT141" t="str">
        <f>""</f>
        <v/>
      </c>
      <c r="DU141" t="str">
        <f>""</f>
        <v/>
      </c>
    </row>
    <row r="142" spans="1:125" x14ac:dyDescent="0.25">
      <c r="A142" t="str">
        <f>"Number of Periods"</f>
        <v>Number of Periods</v>
      </c>
      <c r="B142">
        <f>60</f>
        <v>60</v>
      </c>
      <c r="BN142" t="str">
        <f>""</f>
        <v/>
      </c>
      <c r="BO142" t="str">
        <f>""</f>
        <v/>
      </c>
      <c r="BP142" t="str">
        <f>""</f>
        <v/>
      </c>
      <c r="BQ142" t="str">
        <f>""</f>
        <v/>
      </c>
      <c r="BR142" t="str">
        <f>""</f>
        <v/>
      </c>
      <c r="BS142" t="str">
        <f>""</f>
        <v/>
      </c>
      <c r="BT142" t="str">
        <f>""</f>
        <v/>
      </c>
      <c r="BU142" t="str">
        <f>""</f>
        <v/>
      </c>
      <c r="BV142" t="str">
        <f>""</f>
        <v/>
      </c>
      <c r="BW142" t="str">
        <f>""</f>
        <v/>
      </c>
      <c r="BX142" t="str">
        <f>""</f>
        <v/>
      </c>
      <c r="BY142" t="str">
        <f>""</f>
        <v/>
      </c>
      <c r="BZ142" t="str">
        <f>""</f>
        <v/>
      </c>
      <c r="CA142" t="str">
        <f>""</f>
        <v/>
      </c>
      <c r="CB142" t="str">
        <f>""</f>
        <v/>
      </c>
      <c r="CC142" t="str">
        <f>""</f>
        <v/>
      </c>
      <c r="CD142" t="str">
        <f>""</f>
        <v/>
      </c>
      <c r="CE142" t="str">
        <f>""</f>
        <v/>
      </c>
      <c r="CF142" t="str">
        <f>""</f>
        <v/>
      </c>
      <c r="CG142" t="str">
        <f>""</f>
        <v/>
      </c>
      <c r="CH142" t="str">
        <f>""</f>
        <v/>
      </c>
      <c r="CI142" t="str">
        <f>""</f>
        <v/>
      </c>
      <c r="CJ142" t="str">
        <f>""</f>
        <v/>
      </c>
      <c r="CK142" t="str">
        <f>""</f>
        <v/>
      </c>
      <c r="CL142" t="str">
        <f>""</f>
        <v/>
      </c>
      <c r="CM142" t="str">
        <f>""</f>
        <v/>
      </c>
      <c r="CN142" t="str">
        <f>""</f>
        <v/>
      </c>
      <c r="CO142" t="str">
        <f>""</f>
        <v/>
      </c>
      <c r="CP142" t="str">
        <f>""</f>
        <v/>
      </c>
      <c r="CQ142" t="str">
        <f>""</f>
        <v/>
      </c>
      <c r="CR142" t="str">
        <f>""</f>
        <v/>
      </c>
      <c r="CS142" t="str">
        <f>""</f>
        <v/>
      </c>
      <c r="CT142" t="str">
        <f>""</f>
        <v/>
      </c>
      <c r="CU142" t="str">
        <f>""</f>
        <v/>
      </c>
      <c r="CV142" t="str">
        <f>""</f>
        <v/>
      </c>
      <c r="CW142" t="str">
        <f>""</f>
        <v/>
      </c>
      <c r="CX142" t="str">
        <f>""</f>
        <v/>
      </c>
      <c r="CY142" t="str">
        <f>""</f>
        <v/>
      </c>
      <c r="CZ142" t="str">
        <f>""</f>
        <v/>
      </c>
      <c r="DA142" t="str">
        <f>""</f>
        <v/>
      </c>
      <c r="DB142" t="str">
        <f>""</f>
        <v/>
      </c>
      <c r="DC142" t="str">
        <f>""</f>
        <v/>
      </c>
      <c r="DD142" t="str">
        <f>""</f>
        <v/>
      </c>
      <c r="DE142" t="str">
        <f>""</f>
        <v/>
      </c>
      <c r="DF142" t="str">
        <f>""</f>
        <v/>
      </c>
      <c r="DG142" t="str">
        <f>""</f>
        <v/>
      </c>
      <c r="DH142" t="str">
        <f>""</f>
        <v/>
      </c>
      <c r="DI142" t="str">
        <f>""</f>
        <v/>
      </c>
      <c r="DJ142" t="str">
        <f>""</f>
        <v/>
      </c>
      <c r="DK142" t="str">
        <f>""</f>
        <v/>
      </c>
      <c r="DL142" t="str">
        <f>""</f>
        <v/>
      </c>
      <c r="DM142" t="str">
        <f>""</f>
        <v/>
      </c>
      <c r="DN142" t="str">
        <f>""</f>
        <v/>
      </c>
      <c r="DO142" t="str">
        <f>""</f>
        <v/>
      </c>
      <c r="DP142" t="str">
        <f>""</f>
        <v/>
      </c>
      <c r="DQ142" t="str">
        <f>""</f>
        <v/>
      </c>
      <c r="DR142" t="str">
        <f>""</f>
        <v/>
      </c>
      <c r="DS142" t="str">
        <f>""</f>
        <v/>
      </c>
      <c r="DT142" t="str">
        <f>""</f>
        <v/>
      </c>
      <c r="DU142" t="str">
        <f>""</f>
        <v/>
      </c>
    </row>
    <row r="143" spans="1:125" x14ac:dyDescent="0.25">
      <c r="A143" t="str">
        <f>"Start Date"</f>
        <v>Start Date</v>
      </c>
      <c r="B143" t="str">
        <f>CONCATENATE("-",$B$142,$B$141)</f>
        <v>-60CQ</v>
      </c>
      <c r="C143" t="str">
        <f>CONCATENATE("-",$B$142,$C$141)</f>
        <v>-60AQ</v>
      </c>
      <c r="BN143" t="str">
        <f>""</f>
        <v/>
      </c>
      <c r="BO143" t="str">
        <f>""</f>
        <v/>
      </c>
      <c r="BP143" t="str">
        <f>""</f>
        <v/>
      </c>
      <c r="BQ143" t="str">
        <f>""</f>
        <v/>
      </c>
      <c r="BR143" t="str">
        <f>""</f>
        <v/>
      </c>
      <c r="BS143" t="str">
        <f>""</f>
        <v/>
      </c>
      <c r="BT143" t="str">
        <f>""</f>
        <v/>
      </c>
      <c r="BU143" t="str">
        <f>""</f>
        <v/>
      </c>
      <c r="BV143" t="str">
        <f>""</f>
        <v/>
      </c>
      <c r="BW143" t="str">
        <f>""</f>
        <v/>
      </c>
      <c r="BX143" t="str">
        <f>""</f>
        <v/>
      </c>
      <c r="BY143" t="str">
        <f>""</f>
        <v/>
      </c>
      <c r="BZ143" t="str">
        <f>""</f>
        <v/>
      </c>
      <c r="CA143" t="str">
        <f>""</f>
        <v/>
      </c>
      <c r="CB143" t="str">
        <f>""</f>
        <v/>
      </c>
      <c r="CC143" t="str">
        <f>""</f>
        <v/>
      </c>
      <c r="CD143" t="str">
        <f>""</f>
        <v/>
      </c>
      <c r="CE143" t="str">
        <f>""</f>
        <v/>
      </c>
      <c r="CF143" t="str">
        <f>""</f>
        <v/>
      </c>
      <c r="CG143" t="str">
        <f>""</f>
        <v/>
      </c>
      <c r="CH143" t="str">
        <f>""</f>
        <v/>
      </c>
      <c r="CI143" t="str">
        <f>""</f>
        <v/>
      </c>
      <c r="CJ143" t="str">
        <f>""</f>
        <v/>
      </c>
      <c r="CK143" t="str">
        <f>""</f>
        <v/>
      </c>
      <c r="CL143" t="str">
        <f>""</f>
        <v/>
      </c>
      <c r="CM143" t="str">
        <f>""</f>
        <v/>
      </c>
      <c r="CN143" t="str">
        <f>""</f>
        <v/>
      </c>
      <c r="CO143" t="str">
        <f>""</f>
        <v/>
      </c>
      <c r="CP143" t="str">
        <f>""</f>
        <v/>
      </c>
      <c r="CQ143" t="str">
        <f>""</f>
        <v/>
      </c>
      <c r="CR143" t="str">
        <f>""</f>
        <v/>
      </c>
      <c r="CS143" t="str">
        <f>""</f>
        <v/>
      </c>
      <c r="CT143" t="str">
        <f>""</f>
        <v/>
      </c>
      <c r="CU143" t="str">
        <f>""</f>
        <v/>
      </c>
      <c r="CV143" t="str">
        <f>""</f>
        <v/>
      </c>
      <c r="CW143" t="str">
        <f>""</f>
        <v/>
      </c>
      <c r="CX143" t="str">
        <f>""</f>
        <v/>
      </c>
      <c r="CY143" t="str">
        <f>""</f>
        <v/>
      </c>
      <c r="CZ143" t="str">
        <f>""</f>
        <v/>
      </c>
      <c r="DA143" t="str">
        <f>""</f>
        <v/>
      </c>
      <c r="DB143" t="str">
        <f>""</f>
        <v/>
      </c>
      <c r="DC143" t="str">
        <f>""</f>
        <v/>
      </c>
      <c r="DD143" t="str">
        <f>""</f>
        <v/>
      </c>
      <c r="DE143" t="str">
        <f>""</f>
        <v/>
      </c>
      <c r="DF143" t="str">
        <f>""</f>
        <v/>
      </c>
      <c r="DG143" t="str">
        <f>""</f>
        <v/>
      </c>
      <c r="DH143" t="str">
        <f>""</f>
        <v/>
      </c>
      <c r="DI143" t="str">
        <f>""</f>
        <v/>
      </c>
      <c r="DJ143" t="str">
        <f>""</f>
        <v/>
      </c>
      <c r="DK143" t="str">
        <f>""</f>
        <v/>
      </c>
      <c r="DL143" t="str">
        <f>""</f>
        <v/>
      </c>
      <c r="DM143" t="str">
        <f>""</f>
        <v/>
      </c>
      <c r="DN143" t="str">
        <f>""</f>
        <v/>
      </c>
      <c r="DO143" t="str">
        <f>""</f>
        <v/>
      </c>
      <c r="DP143" t="str">
        <f>""</f>
        <v/>
      </c>
      <c r="DQ143" t="str">
        <f>""</f>
        <v/>
      </c>
      <c r="DR143" t="str">
        <f>""</f>
        <v/>
      </c>
      <c r="DS143" t="str">
        <f>""</f>
        <v/>
      </c>
      <c r="DT143" t="str">
        <f>""</f>
        <v/>
      </c>
      <c r="DU143" t="str">
        <f>""</f>
        <v/>
      </c>
    </row>
    <row r="144" spans="1:125" x14ac:dyDescent="0.25">
      <c r="A144" t="str">
        <f>"End Date"</f>
        <v>End Date</v>
      </c>
      <c r="B144">
        <f ca="1">TODAY()</f>
        <v>45740</v>
      </c>
      <c r="BN144" t="str">
        <f>""</f>
        <v/>
      </c>
      <c r="BO144" t="str">
        <f>""</f>
        <v/>
      </c>
      <c r="BP144" t="str">
        <f>""</f>
        <v/>
      </c>
      <c r="BQ144" t="str">
        <f>""</f>
        <v/>
      </c>
      <c r="BR144" t="str">
        <f>""</f>
        <v/>
      </c>
      <c r="BS144" t="str">
        <f>""</f>
        <v/>
      </c>
      <c r="BT144" t="str">
        <f>""</f>
        <v/>
      </c>
      <c r="BU144" t="str">
        <f>""</f>
        <v/>
      </c>
      <c r="BV144" t="str">
        <f>""</f>
        <v/>
      </c>
      <c r="BW144" t="str">
        <f>""</f>
        <v/>
      </c>
      <c r="BX144" t="str">
        <f>""</f>
        <v/>
      </c>
      <c r="BY144" t="str">
        <f>""</f>
        <v/>
      </c>
      <c r="BZ144" t="str">
        <f>""</f>
        <v/>
      </c>
      <c r="CA144" t="str">
        <f>""</f>
        <v/>
      </c>
      <c r="CB144" t="str">
        <f>""</f>
        <v/>
      </c>
      <c r="CC144" t="str">
        <f>""</f>
        <v/>
      </c>
      <c r="CD144" t="str">
        <f>""</f>
        <v/>
      </c>
      <c r="CE144" t="str">
        <f>""</f>
        <v/>
      </c>
      <c r="CF144" t="str">
        <f>""</f>
        <v/>
      </c>
      <c r="CG144" t="str">
        <f>""</f>
        <v/>
      </c>
      <c r="CH144" t="str">
        <f>""</f>
        <v/>
      </c>
      <c r="CI144" t="str">
        <f>""</f>
        <v/>
      </c>
      <c r="CJ144" t="str">
        <f>""</f>
        <v/>
      </c>
      <c r="CK144" t="str">
        <f>""</f>
        <v/>
      </c>
      <c r="CL144" t="str">
        <f>""</f>
        <v/>
      </c>
      <c r="CM144" t="str">
        <f>""</f>
        <v/>
      </c>
      <c r="CN144" t="str">
        <f>""</f>
        <v/>
      </c>
      <c r="CO144" t="str">
        <f>""</f>
        <v/>
      </c>
      <c r="CP144" t="str">
        <f>""</f>
        <v/>
      </c>
      <c r="CQ144" t="str">
        <f>""</f>
        <v/>
      </c>
      <c r="CR144" t="str">
        <f>""</f>
        <v/>
      </c>
      <c r="CS144" t="str">
        <f>""</f>
        <v/>
      </c>
      <c r="CT144" t="str">
        <f>""</f>
        <v/>
      </c>
      <c r="CU144" t="str">
        <f>""</f>
        <v/>
      </c>
      <c r="CV144" t="str">
        <f>""</f>
        <v/>
      </c>
      <c r="CW144" t="str">
        <f>""</f>
        <v/>
      </c>
      <c r="CX144" t="str">
        <f>""</f>
        <v/>
      </c>
      <c r="CY144" t="str">
        <f>""</f>
        <v/>
      </c>
      <c r="CZ144" t="str">
        <f>""</f>
        <v/>
      </c>
      <c r="DA144" t="str">
        <f>""</f>
        <v/>
      </c>
      <c r="DB144" t="str">
        <f>""</f>
        <v/>
      </c>
      <c r="DC144" t="str">
        <f>""</f>
        <v/>
      </c>
      <c r="DD144" t="str">
        <f>""</f>
        <v/>
      </c>
      <c r="DE144" t="str">
        <f>""</f>
        <v/>
      </c>
      <c r="DF144" t="str">
        <f>""</f>
        <v/>
      </c>
      <c r="DG144" t="str">
        <f>""</f>
        <v/>
      </c>
      <c r="DH144" t="str">
        <f>""</f>
        <v/>
      </c>
      <c r="DI144" t="str">
        <f>""</f>
        <v/>
      </c>
      <c r="DJ144" t="str">
        <f>""</f>
        <v/>
      </c>
      <c r="DK144" t="str">
        <f>""</f>
        <v/>
      </c>
      <c r="DL144" t="str">
        <f>""</f>
        <v/>
      </c>
      <c r="DM144" t="str">
        <f>""</f>
        <v/>
      </c>
      <c r="DN144" t="str">
        <f>""</f>
        <v/>
      </c>
      <c r="DO144" t="str">
        <f>""</f>
        <v/>
      </c>
      <c r="DP144" t="str">
        <f>""</f>
        <v/>
      </c>
      <c r="DQ144" t="str">
        <f>""</f>
        <v/>
      </c>
      <c r="DR144" t="str">
        <f>""</f>
        <v/>
      </c>
      <c r="DS144" t="str">
        <f>""</f>
        <v/>
      </c>
      <c r="DT144" t="str">
        <f>""</f>
        <v/>
      </c>
      <c r="DU144" t="str">
        <f>""</f>
        <v/>
      </c>
    </row>
    <row r="145" spans="1:125" x14ac:dyDescent="0.25">
      <c r="A145" t="str">
        <f>"HeaderStatus"</f>
        <v>HeaderStatus</v>
      </c>
      <c r="B145">
        <f ca="1">$B$286*$B$294</f>
        <v>4</v>
      </c>
      <c r="BN145" t="str">
        <f>""</f>
        <v/>
      </c>
      <c r="BO145" t="str">
        <f>""</f>
        <v/>
      </c>
      <c r="BP145" t="str">
        <f>""</f>
        <v/>
      </c>
      <c r="BQ145" t="str">
        <f>""</f>
        <v/>
      </c>
      <c r="BR145" t="str">
        <f>""</f>
        <v/>
      </c>
      <c r="BS145" t="str">
        <f>""</f>
        <v/>
      </c>
      <c r="BT145" t="str">
        <f>""</f>
        <v/>
      </c>
      <c r="BU145" t="str">
        <f>""</f>
        <v/>
      </c>
      <c r="BV145" t="str">
        <f>""</f>
        <v/>
      </c>
      <c r="BW145" t="str">
        <f>""</f>
        <v/>
      </c>
      <c r="BX145" t="str">
        <f>""</f>
        <v/>
      </c>
      <c r="BY145" t="str">
        <f>""</f>
        <v/>
      </c>
      <c r="BZ145" t="str">
        <f>""</f>
        <v/>
      </c>
      <c r="CA145" t="str">
        <f>""</f>
        <v/>
      </c>
      <c r="CB145" t="str">
        <f>""</f>
        <v/>
      </c>
      <c r="CC145" t="str">
        <f>""</f>
        <v/>
      </c>
      <c r="CD145" t="str">
        <f>""</f>
        <v/>
      </c>
      <c r="CE145" t="str">
        <f>""</f>
        <v/>
      </c>
      <c r="CF145" t="str">
        <f>""</f>
        <v/>
      </c>
      <c r="CG145" t="str">
        <f>""</f>
        <v/>
      </c>
      <c r="CH145" t="str">
        <f>""</f>
        <v/>
      </c>
      <c r="CI145" t="str">
        <f>""</f>
        <v/>
      </c>
      <c r="CJ145" t="str">
        <f>""</f>
        <v/>
      </c>
      <c r="CK145" t="str">
        <f>""</f>
        <v/>
      </c>
      <c r="CL145" t="str">
        <f>""</f>
        <v/>
      </c>
      <c r="CM145" t="str">
        <f>""</f>
        <v/>
      </c>
      <c r="CN145" t="str">
        <f>""</f>
        <v/>
      </c>
      <c r="CO145" t="str">
        <f>""</f>
        <v/>
      </c>
      <c r="CP145" t="str">
        <f>""</f>
        <v/>
      </c>
      <c r="CQ145" t="str">
        <f>""</f>
        <v/>
      </c>
      <c r="CR145" t="str">
        <f>""</f>
        <v/>
      </c>
      <c r="CS145" t="str">
        <f>""</f>
        <v/>
      </c>
      <c r="CT145" t="str">
        <f>""</f>
        <v/>
      </c>
      <c r="CU145" t="str">
        <f>""</f>
        <v/>
      </c>
      <c r="CV145" t="str">
        <f>""</f>
        <v/>
      </c>
      <c r="CW145" t="str">
        <f>""</f>
        <v/>
      </c>
      <c r="CX145" t="str">
        <f>""</f>
        <v/>
      </c>
      <c r="CY145" t="str">
        <f>""</f>
        <v/>
      </c>
      <c r="CZ145" t="str">
        <f>""</f>
        <v/>
      </c>
      <c r="DA145" t="str">
        <f>""</f>
        <v/>
      </c>
      <c r="DB145" t="str">
        <f>""</f>
        <v/>
      </c>
      <c r="DC145" t="str">
        <f>""</f>
        <v/>
      </c>
      <c r="DD145" t="str">
        <f>""</f>
        <v/>
      </c>
      <c r="DE145" t="str">
        <f>""</f>
        <v/>
      </c>
      <c r="DF145" t="str">
        <f>""</f>
        <v/>
      </c>
      <c r="DG145" t="str">
        <f>""</f>
        <v/>
      </c>
      <c r="DH145" t="str">
        <f>""</f>
        <v/>
      </c>
      <c r="DI145" t="str">
        <f>""</f>
        <v/>
      </c>
      <c r="DJ145" t="str">
        <f>""</f>
        <v/>
      </c>
      <c r="DK145" t="str">
        <f>""</f>
        <v/>
      </c>
      <c r="DL145" t="str">
        <f>""</f>
        <v/>
      </c>
      <c r="DM145" t="str">
        <f>""</f>
        <v/>
      </c>
      <c r="DN145" t="str">
        <f>""</f>
        <v/>
      </c>
      <c r="DO145" t="str">
        <f>""</f>
        <v/>
      </c>
      <c r="DP145" t="str">
        <f>""</f>
        <v/>
      </c>
      <c r="DQ145" t="str">
        <f>""</f>
        <v/>
      </c>
      <c r="DR145" t="str">
        <f>""</f>
        <v/>
      </c>
      <c r="DS145" t="str">
        <f>""</f>
        <v/>
      </c>
      <c r="DT145" t="str">
        <f>""</f>
        <v/>
      </c>
      <c r="DU145" t="str">
        <f>""</f>
        <v/>
      </c>
    </row>
    <row r="146" spans="1:125" x14ac:dyDescent="0.25">
      <c r="BN146" t="str">
        <f>""</f>
        <v/>
      </c>
      <c r="BO146" t="str">
        <f>""</f>
        <v/>
      </c>
      <c r="BP146" t="str">
        <f>""</f>
        <v/>
      </c>
      <c r="BQ146" t="str">
        <f>""</f>
        <v/>
      </c>
      <c r="BR146" t="str">
        <f>""</f>
        <v/>
      </c>
      <c r="BS146" t="str">
        <f>""</f>
        <v/>
      </c>
      <c r="BT146" t="str">
        <f>""</f>
        <v/>
      </c>
      <c r="BU146" t="str">
        <f>""</f>
        <v/>
      </c>
      <c r="BV146" t="str">
        <f>""</f>
        <v/>
      </c>
      <c r="BW146" t="str">
        <f>""</f>
        <v/>
      </c>
      <c r="BX146" t="str">
        <f>""</f>
        <v/>
      </c>
      <c r="BY146" t="str">
        <f>""</f>
        <v/>
      </c>
      <c r="BZ146" t="str">
        <f>""</f>
        <v/>
      </c>
      <c r="CA146" t="str">
        <f>""</f>
        <v/>
      </c>
      <c r="CB146" t="str">
        <f>""</f>
        <v/>
      </c>
      <c r="CC146" t="str">
        <f>""</f>
        <v/>
      </c>
      <c r="CD146" t="str">
        <f>""</f>
        <v/>
      </c>
      <c r="CE146" t="str">
        <f>""</f>
        <v/>
      </c>
      <c r="CF146" t="str">
        <f>""</f>
        <v/>
      </c>
      <c r="CG146" t="str">
        <f>""</f>
        <v/>
      </c>
      <c r="CH146" t="str">
        <f>""</f>
        <v/>
      </c>
      <c r="CI146" t="str">
        <f>""</f>
        <v/>
      </c>
      <c r="CJ146" t="str">
        <f>""</f>
        <v/>
      </c>
      <c r="CK146" t="str">
        <f>""</f>
        <v/>
      </c>
      <c r="CL146" t="str">
        <f>""</f>
        <v/>
      </c>
      <c r="CM146" t="str">
        <f>""</f>
        <v/>
      </c>
      <c r="CN146" t="str">
        <f>""</f>
        <v/>
      </c>
      <c r="CO146" t="str">
        <f>""</f>
        <v/>
      </c>
      <c r="CP146" t="str">
        <f>""</f>
        <v/>
      </c>
      <c r="CQ146" t="str">
        <f>""</f>
        <v/>
      </c>
      <c r="CR146" t="str">
        <f>""</f>
        <v/>
      </c>
      <c r="CS146" t="str">
        <f>""</f>
        <v/>
      </c>
      <c r="CT146" t="str">
        <f>""</f>
        <v/>
      </c>
      <c r="CU146" t="str">
        <f>""</f>
        <v/>
      </c>
      <c r="CV146" t="str">
        <f>""</f>
        <v/>
      </c>
      <c r="CW146" t="str">
        <f>""</f>
        <v/>
      </c>
      <c r="CX146" t="str">
        <f>""</f>
        <v/>
      </c>
      <c r="CY146" t="str">
        <f>""</f>
        <v/>
      </c>
      <c r="CZ146" t="str">
        <f>""</f>
        <v/>
      </c>
      <c r="DA146" t="str">
        <f>""</f>
        <v/>
      </c>
      <c r="DB146" t="str">
        <f>""</f>
        <v/>
      </c>
      <c r="DC146" t="str">
        <f>""</f>
        <v/>
      </c>
      <c r="DD146" t="str">
        <f>""</f>
        <v/>
      </c>
      <c r="DE146" t="str">
        <f>""</f>
        <v/>
      </c>
      <c r="DF146" t="str">
        <f>""</f>
        <v/>
      </c>
      <c r="DG146" t="str">
        <f>""</f>
        <v/>
      </c>
      <c r="DH146" t="str">
        <f>""</f>
        <v/>
      </c>
      <c r="DI146" t="str">
        <f>""</f>
        <v/>
      </c>
      <c r="DJ146" t="str">
        <f>""</f>
        <v/>
      </c>
      <c r="DK146" t="str">
        <f>""</f>
        <v/>
      </c>
      <c r="DL146" t="str">
        <f>""</f>
        <v/>
      </c>
      <c r="DM146" t="str">
        <f>""</f>
        <v/>
      </c>
      <c r="DN146" t="str">
        <f>""</f>
        <v/>
      </c>
      <c r="DO146" t="str">
        <f>""</f>
        <v/>
      </c>
      <c r="DP146" t="str">
        <f>""</f>
        <v/>
      </c>
      <c r="DQ146" t="str">
        <f>""</f>
        <v/>
      </c>
      <c r="DR146" t="str">
        <f>""</f>
        <v/>
      </c>
      <c r="DS146" t="str">
        <f>""</f>
        <v/>
      </c>
      <c r="DT146" t="str">
        <f>""</f>
        <v/>
      </c>
      <c r="DU146" t="str">
        <f>""</f>
        <v/>
      </c>
    </row>
    <row r="147" spans="1:125" x14ac:dyDescent="0.25">
      <c r="A147" t="str">
        <f>$A$5</f>
        <v xml:space="preserve">                Bank of America Corp</v>
      </c>
      <c r="B147" t="str">
        <f>$B$5</f>
        <v>BAC US Equity</v>
      </c>
      <c r="C147" t="str">
        <f>$C$5</f>
        <v>FC470</v>
      </c>
      <c r="D147" t="str">
        <f>$D$5</f>
        <v>FDIC_SECS_HELD_TO_MTY_BOOK_VAL</v>
      </c>
      <c r="E147" t="str">
        <f>$E$5</f>
        <v>Dynamic</v>
      </c>
      <c r="F147">
        <f ca="1">_xll.BDH($B$5,$C$5,$B$143,$B$144,CONCATENATE("Per=",$B$141),"Dts=H","Dir=H",CONCATENATE("Points=",$B$142),"Sort=R","Days=A","Fill=B",CONCATENATE("FX=", $B$140),"cols=60;rows=1")</f>
        <v>558713</v>
      </c>
      <c r="G147">
        <v>567589</v>
      </c>
      <c r="H147">
        <v>577402</v>
      </c>
      <c r="I147">
        <v>586899</v>
      </c>
      <c r="J147">
        <v>594591</v>
      </c>
      <c r="K147">
        <v>603365</v>
      </c>
      <c r="L147">
        <v>614149</v>
      </c>
      <c r="M147">
        <v>624528</v>
      </c>
      <c r="N147">
        <v>632863</v>
      </c>
      <c r="O147">
        <v>643743</v>
      </c>
      <c r="P147">
        <v>658284</v>
      </c>
      <c r="Q147">
        <v>672218</v>
      </c>
      <c r="R147">
        <v>674591</v>
      </c>
      <c r="S147">
        <v>683274</v>
      </c>
      <c r="T147">
        <v>651434</v>
      </c>
      <c r="U147">
        <v>576031</v>
      </c>
      <c r="V147">
        <v>438279</v>
      </c>
      <c r="W147">
        <v>338419</v>
      </c>
      <c r="X147">
        <v>268967</v>
      </c>
      <c r="Y147">
        <v>254764</v>
      </c>
      <c r="Z147">
        <v>215730</v>
      </c>
      <c r="AA147">
        <v>190252</v>
      </c>
      <c r="AB147">
        <v>199981</v>
      </c>
      <c r="AC147">
        <v>198718</v>
      </c>
      <c r="AD147">
        <v>203652</v>
      </c>
      <c r="AE147">
        <v>194472</v>
      </c>
      <c r="AF147">
        <v>163013</v>
      </c>
      <c r="AG147">
        <v>123539</v>
      </c>
      <c r="AH147">
        <v>125013</v>
      </c>
      <c r="AI147">
        <v>122345</v>
      </c>
      <c r="AJ147">
        <v>119008</v>
      </c>
      <c r="AK147">
        <v>116033</v>
      </c>
      <c r="AL147">
        <v>117071</v>
      </c>
      <c r="AM147">
        <v>112409</v>
      </c>
      <c r="AN147">
        <v>102279</v>
      </c>
      <c r="AO147">
        <v>97978</v>
      </c>
      <c r="AP147">
        <v>84625</v>
      </c>
      <c r="AQ147">
        <v>66573</v>
      </c>
      <c r="AR147">
        <v>60072</v>
      </c>
      <c r="AS147">
        <v>59815</v>
      </c>
      <c r="AT147">
        <v>59766</v>
      </c>
      <c r="AU147">
        <v>60175</v>
      </c>
      <c r="AV147">
        <v>60022</v>
      </c>
      <c r="AW147">
        <v>55120</v>
      </c>
      <c r="AX147">
        <v>55150</v>
      </c>
      <c r="AY147">
        <v>54649</v>
      </c>
      <c r="AZ147">
        <v>54922</v>
      </c>
      <c r="BA147">
        <v>49577</v>
      </c>
      <c r="BB147">
        <v>49480.678</v>
      </c>
      <c r="BC147">
        <v>39897.925999999999</v>
      </c>
      <c r="BD147">
        <v>35167.512999999999</v>
      </c>
      <c r="BE147">
        <v>34205.133000000002</v>
      </c>
      <c r="BF147">
        <v>35265.406000000003</v>
      </c>
      <c r="BG147">
        <v>26458.178</v>
      </c>
      <c r="BH147">
        <v>180.69499999999999</v>
      </c>
      <c r="BI147">
        <v>431.041</v>
      </c>
      <c r="BJ147">
        <v>426.93599999999998</v>
      </c>
      <c r="BK147">
        <v>437.851</v>
      </c>
      <c r="BL147">
        <v>435.185</v>
      </c>
      <c r="BM147">
        <v>339.91199999999998</v>
      </c>
      <c r="BN147" t="str">
        <f>""</f>
        <v/>
      </c>
      <c r="BO147" t="str">
        <f>""</f>
        <v/>
      </c>
      <c r="BP147" t="str">
        <f>""</f>
        <v/>
      </c>
      <c r="BQ147" t="str">
        <f>""</f>
        <v/>
      </c>
      <c r="BR147" t="str">
        <f>""</f>
        <v/>
      </c>
      <c r="BS147" t="str">
        <f>""</f>
        <v/>
      </c>
      <c r="BT147" t="str">
        <f>""</f>
        <v/>
      </c>
      <c r="BU147" t="str">
        <f>""</f>
        <v/>
      </c>
      <c r="BV147" t="str">
        <f>""</f>
        <v/>
      </c>
      <c r="BW147" t="str">
        <f>""</f>
        <v/>
      </c>
      <c r="BX147" t="str">
        <f>""</f>
        <v/>
      </c>
      <c r="BY147" t="str">
        <f>""</f>
        <v/>
      </c>
      <c r="BZ147" t="str">
        <f>""</f>
        <v/>
      </c>
      <c r="CA147" t="str">
        <f>""</f>
        <v/>
      </c>
      <c r="CB147" t="str">
        <f>""</f>
        <v/>
      </c>
      <c r="CC147" t="str">
        <f>""</f>
        <v/>
      </c>
      <c r="CD147" t="str">
        <f>""</f>
        <v/>
      </c>
      <c r="CE147" t="str">
        <f>""</f>
        <v/>
      </c>
      <c r="CF147" t="str">
        <f>""</f>
        <v/>
      </c>
      <c r="CG147" t="str">
        <f>""</f>
        <v/>
      </c>
      <c r="CH147" t="str">
        <f>""</f>
        <v/>
      </c>
      <c r="CI147" t="str">
        <f>""</f>
        <v/>
      </c>
      <c r="CJ147" t="str">
        <f>""</f>
        <v/>
      </c>
      <c r="CK147" t="str">
        <f>""</f>
        <v/>
      </c>
      <c r="CL147" t="str">
        <f>""</f>
        <v/>
      </c>
      <c r="CM147" t="str">
        <f>""</f>
        <v/>
      </c>
      <c r="CN147" t="str">
        <f>""</f>
        <v/>
      </c>
      <c r="CO147" t="str">
        <f>""</f>
        <v/>
      </c>
      <c r="CP147" t="str">
        <f>""</f>
        <v/>
      </c>
      <c r="CQ147" t="str">
        <f>""</f>
        <v/>
      </c>
      <c r="CR147" t="str">
        <f>""</f>
        <v/>
      </c>
      <c r="CS147" t="str">
        <f>""</f>
        <v/>
      </c>
      <c r="CT147" t="str">
        <f>""</f>
        <v/>
      </c>
      <c r="CU147" t="str">
        <f>""</f>
        <v/>
      </c>
      <c r="CV147" t="str">
        <f>""</f>
        <v/>
      </c>
      <c r="CW147" t="str">
        <f>""</f>
        <v/>
      </c>
      <c r="CX147" t="str">
        <f>""</f>
        <v/>
      </c>
      <c r="CY147" t="str">
        <f>""</f>
        <v/>
      </c>
      <c r="CZ147" t="str">
        <f>""</f>
        <v/>
      </c>
      <c r="DA147" t="str">
        <f>""</f>
        <v/>
      </c>
      <c r="DB147" t="str">
        <f>""</f>
        <v/>
      </c>
      <c r="DC147" t="str">
        <f>""</f>
        <v/>
      </c>
      <c r="DD147" t="str">
        <f>""</f>
        <v/>
      </c>
      <c r="DE147" t="str">
        <f>""</f>
        <v/>
      </c>
      <c r="DF147" t="str">
        <f>""</f>
        <v/>
      </c>
      <c r="DG147" t="str">
        <f>""</f>
        <v/>
      </c>
      <c r="DH147" t="str">
        <f>""</f>
        <v/>
      </c>
      <c r="DI147" t="str">
        <f>""</f>
        <v/>
      </c>
      <c r="DJ147" t="str">
        <f>""</f>
        <v/>
      </c>
      <c r="DK147" t="str">
        <f>""</f>
        <v/>
      </c>
      <c r="DL147" t="str">
        <f>""</f>
        <v/>
      </c>
      <c r="DM147" t="str">
        <f>""</f>
        <v/>
      </c>
      <c r="DN147" t="str">
        <f>""</f>
        <v/>
      </c>
      <c r="DO147" t="str">
        <f>""</f>
        <v/>
      </c>
      <c r="DP147" t="str">
        <f>""</f>
        <v/>
      </c>
      <c r="DQ147" t="str">
        <f>""</f>
        <v/>
      </c>
      <c r="DR147" t="str">
        <f>""</f>
        <v/>
      </c>
      <c r="DS147" t="str">
        <f>""</f>
        <v/>
      </c>
      <c r="DT147" t="str">
        <f>""</f>
        <v/>
      </c>
      <c r="DU147" t="str">
        <f>""</f>
        <v/>
      </c>
    </row>
    <row r="148" spans="1:125" x14ac:dyDescent="0.25">
      <c r="A148" t="str">
        <f>$A$6</f>
        <v xml:space="preserve">                Citigroup Inc</v>
      </c>
      <c r="B148" t="str">
        <f>$B$6</f>
        <v>C US Equity</v>
      </c>
      <c r="C148" t="str">
        <f>$C$6</f>
        <v>FC470</v>
      </c>
      <c r="D148" t="str">
        <f>$D$6</f>
        <v>FDIC_SECS_HELD_TO_MTY_BOOK_VAL</v>
      </c>
      <c r="E148" t="str">
        <f>$E$6</f>
        <v>Dynamic</v>
      </c>
      <c r="F148">
        <f ca="1">_xll.BDH($B$6,$C$6,$B$143,$B$144,CONCATENATE("Per=",$B$141),"Dts=H","Dir=H",CONCATENATE("Points=",$B$142),"Sort=R","Days=A","Fill=B",CONCATENATE("FX=", $B$140),"cols=60;rows=1")</f>
        <v>242519</v>
      </c>
      <c r="G148">
        <v>248416</v>
      </c>
      <c r="H148">
        <v>251225</v>
      </c>
      <c r="I148">
        <v>252564</v>
      </c>
      <c r="J148">
        <v>254342</v>
      </c>
      <c r="K148">
        <v>259551</v>
      </c>
      <c r="L148">
        <v>262165</v>
      </c>
      <c r="M148">
        <v>264446</v>
      </c>
      <c r="N148">
        <v>268983</v>
      </c>
      <c r="O148">
        <v>267979</v>
      </c>
      <c r="P148">
        <v>267697</v>
      </c>
      <c r="Q148">
        <v>242632</v>
      </c>
      <c r="R148">
        <v>217050</v>
      </c>
      <c r="S148">
        <v>198129</v>
      </c>
      <c r="T148">
        <v>176825</v>
      </c>
      <c r="U148">
        <v>161820</v>
      </c>
      <c r="V148">
        <v>105029</v>
      </c>
      <c r="W148">
        <v>96163</v>
      </c>
      <c r="X148">
        <v>83439</v>
      </c>
      <c r="Y148">
        <v>82391</v>
      </c>
      <c r="Z148">
        <v>80775</v>
      </c>
      <c r="AA148">
        <v>75841</v>
      </c>
      <c r="AB148">
        <v>68693</v>
      </c>
      <c r="AC148">
        <v>66842</v>
      </c>
      <c r="AD148">
        <v>63357</v>
      </c>
      <c r="AE148">
        <v>53249</v>
      </c>
      <c r="AF148">
        <v>52897</v>
      </c>
      <c r="AG148">
        <v>52492</v>
      </c>
      <c r="AH148">
        <v>53320</v>
      </c>
      <c r="AI148">
        <v>51527</v>
      </c>
      <c r="AJ148">
        <v>50175</v>
      </c>
      <c r="AK148">
        <v>47942</v>
      </c>
      <c r="AL148">
        <v>45667</v>
      </c>
      <c r="AM148">
        <v>38588</v>
      </c>
      <c r="AN148">
        <v>35903</v>
      </c>
      <c r="AO148">
        <v>36890</v>
      </c>
      <c r="AP148">
        <v>36215</v>
      </c>
      <c r="AQ148">
        <v>33940</v>
      </c>
      <c r="AR148">
        <v>30166</v>
      </c>
      <c r="AS148">
        <v>23254</v>
      </c>
      <c r="AT148">
        <v>23921</v>
      </c>
      <c r="AU148">
        <v>24038</v>
      </c>
      <c r="AV148">
        <v>22330</v>
      </c>
      <c r="AW148">
        <v>10600</v>
      </c>
      <c r="AX148">
        <v>10599</v>
      </c>
      <c r="AY148">
        <v>10808</v>
      </c>
      <c r="AZ148">
        <v>9602</v>
      </c>
      <c r="BA148">
        <v>10056</v>
      </c>
      <c r="BB148">
        <v>10130</v>
      </c>
      <c r="BC148">
        <v>10943</v>
      </c>
      <c r="BD148">
        <v>11349</v>
      </c>
      <c r="BE148">
        <v>10126</v>
      </c>
      <c r="BF148">
        <v>11483</v>
      </c>
      <c r="BG148">
        <v>12866</v>
      </c>
      <c r="BH148">
        <v>14910</v>
      </c>
      <c r="BI148">
        <v>15484</v>
      </c>
      <c r="BJ148">
        <v>29107</v>
      </c>
      <c r="BK148">
        <v>30107</v>
      </c>
      <c r="BL148">
        <v>31283</v>
      </c>
      <c r="BM148">
        <v>46348</v>
      </c>
      <c r="BN148" t="str">
        <f>""</f>
        <v/>
      </c>
      <c r="BO148" t="str">
        <f>""</f>
        <v/>
      </c>
      <c r="BP148" t="str">
        <f>""</f>
        <v/>
      </c>
      <c r="BQ148" t="str">
        <f>""</f>
        <v/>
      </c>
      <c r="BR148" t="str">
        <f>""</f>
        <v/>
      </c>
      <c r="BS148" t="str">
        <f>""</f>
        <v/>
      </c>
      <c r="BT148" t="str">
        <f>""</f>
        <v/>
      </c>
      <c r="BU148" t="str">
        <f>""</f>
        <v/>
      </c>
      <c r="BV148" t="str">
        <f>""</f>
        <v/>
      </c>
      <c r="BW148" t="str">
        <f>""</f>
        <v/>
      </c>
      <c r="BX148" t="str">
        <f>""</f>
        <v/>
      </c>
      <c r="BY148" t="str">
        <f>""</f>
        <v/>
      </c>
      <c r="BZ148" t="str">
        <f>""</f>
        <v/>
      </c>
      <c r="CA148" t="str">
        <f>""</f>
        <v/>
      </c>
      <c r="CB148" t="str">
        <f>""</f>
        <v/>
      </c>
      <c r="CC148" t="str">
        <f>""</f>
        <v/>
      </c>
      <c r="CD148" t="str">
        <f>""</f>
        <v/>
      </c>
      <c r="CE148" t="str">
        <f>""</f>
        <v/>
      </c>
      <c r="CF148" t="str">
        <f>""</f>
        <v/>
      </c>
      <c r="CG148" t="str">
        <f>""</f>
        <v/>
      </c>
      <c r="CH148" t="str">
        <f>""</f>
        <v/>
      </c>
      <c r="CI148" t="str">
        <f>""</f>
        <v/>
      </c>
      <c r="CJ148" t="str">
        <f>""</f>
        <v/>
      </c>
      <c r="CK148" t="str">
        <f>""</f>
        <v/>
      </c>
      <c r="CL148" t="str">
        <f>""</f>
        <v/>
      </c>
      <c r="CM148" t="str">
        <f>""</f>
        <v/>
      </c>
      <c r="CN148" t="str">
        <f>""</f>
        <v/>
      </c>
      <c r="CO148" t="str">
        <f>""</f>
        <v/>
      </c>
      <c r="CP148" t="str">
        <f>""</f>
        <v/>
      </c>
      <c r="CQ148" t="str">
        <f>""</f>
        <v/>
      </c>
      <c r="CR148" t="str">
        <f>""</f>
        <v/>
      </c>
      <c r="CS148" t="str">
        <f>""</f>
        <v/>
      </c>
      <c r="CT148" t="str">
        <f>""</f>
        <v/>
      </c>
      <c r="CU148" t="str">
        <f>""</f>
        <v/>
      </c>
      <c r="CV148" t="str">
        <f>""</f>
        <v/>
      </c>
      <c r="CW148" t="str">
        <f>""</f>
        <v/>
      </c>
      <c r="CX148" t="str">
        <f>""</f>
        <v/>
      </c>
      <c r="CY148" t="str">
        <f>""</f>
        <v/>
      </c>
      <c r="CZ148" t="str">
        <f>""</f>
        <v/>
      </c>
      <c r="DA148" t="str">
        <f>""</f>
        <v/>
      </c>
      <c r="DB148" t="str">
        <f>""</f>
        <v/>
      </c>
      <c r="DC148" t="str">
        <f>""</f>
        <v/>
      </c>
      <c r="DD148" t="str">
        <f>""</f>
        <v/>
      </c>
      <c r="DE148" t="str">
        <f>""</f>
        <v/>
      </c>
      <c r="DF148" t="str">
        <f>""</f>
        <v/>
      </c>
      <c r="DG148" t="str">
        <f>""</f>
        <v/>
      </c>
      <c r="DH148" t="str">
        <f>""</f>
        <v/>
      </c>
      <c r="DI148" t="str">
        <f>""</f>
        <v/>
      </c>
      <c r="DJ148" t="str">
        <f>""</f>
        <v/>
      </c>
      <c r="DK148" t="str">
        <f>""</f>
        <v/>
      </c>
      <c r="DL148" t="str">
        <f>""</f>
        <v/>
      </c>
      <c r="DM148" t="str">
        <f>""</f>
        <v/>
      </c>
      <c r="DN148" t="str">
        <f>""</f>
        <v/>
      </c>
      <c r="DO148" t="str">
        <f>""</f>
        <v/>
      </c>
      <c r="DP148" t="str">
        <f>""</f>
        <v/>
      </c>
      <c r="DQ148" t="str">
        <f>""</f>
        <v/>
      </c>
      <c r="DR148" t="str">
        <f>""</f>
        <v/>
      </c>
      <c r="DS148" t="str">
        <f>""</f>
        <v/>
      </c>
      <c r="DT148" t="str">
        <f>""</f>
        <v/>
      </c>
      <c r="DU148" t="str">
        <f>""</f>
        <v/>
      </c>
    </row>
    <row r="149" spans="1:125" x14ac:dyDescent="0.25">
      <c r="A149" t="str">
        <f>$A$7</f>
        <v xml:space="preserve">                Citizens Financial Group Inc</v>
      </c>
      <c r="B149" t="str">
        <f>$B$7</f>
        <v>CFG US Equity</v>
      </c>
      <c r="C149" t="str">
        <f>$C$7</f>
        <v>FC470</v>
      </c>
      <c r="D149" t="str">
        <f>$D$7</f>
        <v>FDIC_SECS_HELD_TO_MTY_BOOK_VAL</v>
      </c>
      <c r="E149" t="str">
        <f>$E$7</f>
        <v>Dynamic</v>
      </c>
      <c r="F149">
        <f ca="1">_xll.BDH($B$7,$C$7,$B$143,$B$144,CONCATENATE("Per=",$B$141),"Dts=H","Dir=H",CONCATENATE("Points=",$B$142),"Sort=R","Days=A","Fill=B",CONCATENATE("FX=", $B$140),"cols=60;rows=1")</f>
        <v>8598.5079999999998</v>
      </c>
      <c r="G149">
        <v>8737.6039999999994</v>
      </c>
      <c r="H149">
        <v>8894.759</v>
      </c>
      <c r="I149">
        <v>9054.0640000000003</v>
      </c>
      <c r="J149">
        <v>9184.3119999999999</v>
      </c>
      <c r="K149">
        <v>9319.51</v>
      </c>
      <c r="L149">
        <v>9520.0259999999998</v>
      </c>
      <c r="M149">
        <v>9676.8819999999996</v>
      </c>
      <c r="N149">
        <v>9834.49</v>
      </c>
      <c r="O149">
        <v>10070.532999999999</v>
      </c>
      <c r="P149">
        <v>9567.277</v>
      </c>
      <c r="Q149">
        <v>2055.547</v>
      </c>
      <c r="R149">
        <v>2242.3009999999999</v>
      </c>
      <c r="S149">
        <v>2491.9160000000002</v>
      </c>
      <c r="T149">
        <v>2710.9969999999998</v>
      </c>
      <c r="U149">
        <v>2994.7109999999998</v>
      </c>
      <c r="V149">
        <v>3234.5509999999999</v>
      </c>
      <c r="W149">
        <v>2577.5329999999999</v>
      </c>
      <c r="X149">
        <v>2855.502</v>
      </c>
      <c r="Y149">
        <v>3071.431</v>
      </c>
      <c r="Z149">
        <v>3201.7179999999998</v>
      </c>
      <c r="AA149">
        <v>3319.1959999999999</v>
      </c>
      <c r="AB149">
        <v>3446.67</v>
      </c>
      <c r="AC149">
        <v>3345.471</v>
      </c>
      <c r="AD149">
        <v>4164.9440000000004</v>
      </c>
      <c r="AE149">
        <v>4283.9530000000004</v>
      </c>
      <c r="AF149">
        <v>4416.9489999999996</v>
      </c>
      <c r="AG149">
        <v>4555.42</v>
      </c>
      <c r="AH149">
        <v>4684.991</v>
      </c>
      <c r="AI149">
        <v>4822.9790000000003</v>
      </c>
      <c r="AJ149">
        <v>4966.8389999999999</v>
      </c>
      <c r="AK149">
        <v>4991.6279999999997</v>
      </c>
      <c r="AL149">
        <v>5070.8689999999997</v>
      </c>
      <c r="AM149">
        <v>5288.84</v>
      </c>
      <c r="AN149">
        <v>4972.8379999999997</v>
      </c>
      <c r="AO149">
        <v>5128.9930000000004</v>
      </c>
      <c r="AP149">
        <v>5257.9260000000004</v>
      </c>
      <c r="AQ149">
        <v>5284.8059999999996</v>
      </c>
      <c r="AR149">
        <v>5567.3630000000003</v>
      </c>
      <c r="AS149">
        <v>5177.6180000000004</v>
      </c>
      <c r="AT149">
        <v>5148.12</v>
      </c>
      <c r="AU149">
        <v>5289.0339999999997</v>
      </c>
      <c r="AV149">
        <v>5381.5309999999999</v>
      </c>
      <c r="AW149">
        <v>5456.8109999999997</v>
      </c>
      <c r="AX149">
        <v>4315.4070000000002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 t="str">
        <f>""</f>
        <v/>
      </c>
      <c r="BO149" t="str">
        <f>""</f>
        <v/>
      </c>
      <c r="BP149" t="str">
        <f>""</f>
        <v/>
      </c>
      <c r="BQ149" t="str">
        <f>""</f>
        <v/>
      </c>
      <c r="BR149" t="str">
        <f>""</f>
        <v/>
      </c>
      <c r="BS149" t="str">
        <f>""</f>
        <v/>
      </c>
      <c r="BT149" t="str">
        <f>""</f>
        <v/>
      </c>
      <c r="BU149" t="str">
        <f>""</f>
        <v/>
      </c>
      <c r="BV149" t="str">
        <f>""</f>
        <v/>
      </c>
      <c r="BW149" t="str">
        <f>""</f>
        <v/>
      </c>
      <c r="BX149" t="str">
        <f>""</f>
        <v/>
      </c>
      <c r="BY149" t="str">
        <f>""</f>
        <v/>
      </c>
      <c r="BZ149" t="str">
        <f>""</f>
        <v/>
      </c>
      <c r="CA149" t="str">
        <f>""</f>
        <v/>
      </c>
      <c r="CB149" t="str">
        <f>""</f>
        <v/>
      </c>
      <c r="CC149" t="str">
        <f>""</f>
        <v/>
      </c>
      <c r="CD149" t="str">
        <f>""</f>
        <v/>
      </c>
      <c r="CE149" t="str">
        <f>""</f>
        <v/>
      </c>
      <c r="CF149" t="str">
        <f>""</f>
        <v/>
      </c>
      <c r="CG149" t="str">
        <f>""</f>
        <v/>
      </c>
      <c r="CH149" t="str">
        <f>""</f>
        <v/>
      </c>
      <c r="CI149" t="str">
        <f>""</f>
        <v/>
      </c>
      <c r="CJ149" t="str">
        <f>""</f>
        <v/>
      </c>
      <c r="CK149" t="str">
        <f>""</f>
        <v/>
      </c>
      <c r="CL149" t="str">
        <f>""</f>
        <v/>
      </c>
      <c r="CM149" t="str">
        <f>""</f>
        <v/>
      </c>
      <c r="CN149" t="str">
        <f>""</f>
        <v/>
      </c>
      <c r="CO149" t="str">
        <f>""</f>
        <v/>
      </c>
      <c r="CP149" t="str">
        <f>""</f>
        <v/>
      </c>
      <c r="CQ149" t="str">
        <f>""</f>
        <v/>
      </c>
      <c r="CR149" t="str">
        <f>""</f>
        <v/>
      </c>
      <c r="CS149" t="str">
        <f>""</f>
        <v/>
      </c>
      <c r="CT149" t="str">
        <f>""</f>
        <v/>
      </c>
      <c r="CU149" t="str">
        <f>""</f>
        <v/>
      </c>
      <c r="CV149" t="str">
        <f>""</f>
        <v/>
      </c>
      <c r="CW149" t="str">
        <f>""</f>
        <v/>
      </c>
      <c r="CX149" t="str">
        <f>""</f>
        <v/>
      </c>
      <c r="CY149" t="str">
        <f>""</f>
        <v/>
      </c>
      <c r="CZ149" t="str">
        <f>""</f>
        <v/>
      </c>
      <c r="DA149" t="str">
        <f>""</f>
        <v/>
      </c>
      <c r="DB149" t="str">
        <f>""</f>
        <v/>
      </c>
      <c r="DC149" t="str">
        <f>""</f>
        <v/>
      </c>
      <c r="DD149" t="str">
        <f>""</f>
        <v/>
      </c>
      <c r="DE149" t="str">
        <f>""</f>
        <v/>
      </c>
      <c r="DF149" t="str">
        <f>""</f>
        <v/>
      </c>
      <c r="DG149" t="str">
        <f>""</f>
        <v/>
      </c>
      <c r="DH149" t="str">
        <f>""</f>
        <v/>
      </c>
      <c r="DI149" t="str">
        <f>""</f>
        <v/>
      </c>
      <c r="DJ149" t="str">
        <f>""</f>
        <v/>
      </c>
      <c r="DK149" t="str">
        <f>""</f>
        <v/>
      </c>
      <c r="DL149" t="str">
        <f>""</f>
        <v/>
      </c>
      <c r="DM149" t="str">
        <f>""</f>
        <v/>
      </c>
      <c r="DN149" t="str">
        <f>""</f>
        <v/>
      </c>
      <c r="DO149" t="str">
        <f>""</f>
        <v/>
      </c>
      <c r="DP149" t="str">
        <f>""</f>
        <v/>
      </c>
      <c r="DQ149" t="str">
        <f>""</f>
        <v/>
      </c>
      <c r="DR149" t="str">
        <f>""</f>
        <v/>
      </c>
      <c r="DS149" t="str">
        <f>""</f>
        <v/>
      </c>
      <c r="DT149" t="str">
        <f>""</f>
        <v/>
      </c>
      <c r="DU149" t="str">
        <f>""</f>
        <v/>
      </c>
    </row>
    <row r="150" spans="1:125" x14ac:dyDescent="0.25">
      <c r="A150" t="str">
        <f>$A$8</f>
        <v xml:space="preserve">                Capital One Financial Corp</v>
      </c>
      <c r="B150" t="str">
        <f>$B$8</f>
        <v>COF US Equity</v>
      </c>
      <c r="C150" t="str">
        <f>$C$8</f>
        <v>FC470</v>
      </c>
      <c r="D150" t="str">
        <f>$D$8</f>
        <v>FDIC_SECS_HELD_TO_MTY_BOOK_VAL</v>
      </c>
      <c r="E150" t="str">
        <f>$E$8</f>
        <v>Dynamic</v>
      </c>
      <c r="F150">
        <f ca="1">_xll.BDH($B$8,$C$8,$B$143,$B$144,CONCATENATE("Per=",$B$141),"Dts=H","Dir=H",CONCATENATE("Points=",$B$142),"Sort=R","Days=A","Fill=B",CONCATENATE("FX=", $B$140),"cols=60;rows=1")</f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33893.53</v>
      </c>
      <c r="AB150">
        <v>35475.337</v>
      </c>
      <c r="AC150">
        <v>36503.048999999999</v>
      </c>
      <c r="AD150">
        <v>36770.906999999999</v>
      </c>
      <c r="AE150">
        <v>34631.447999999997</v>
      </c>
      <c r="AF150">
        <v>33464.082999999999</v>
      </c>
      <c r="AG150">
        <v>23074.534</v>
      </c>
      <c r="AH150">
        <v>28983.903999999999</v>
      </c>
      <c r="AI150">
        <v>28649.657999999999</v>
      </c>
      <c r="AJ150">
        <v>27720.427</v>
      </c>
      <c r="AK150">
        <v>26170.183000000001</v>
      </c>
      <c r="AL150">
        <v>25712.440999999999</v>
      </c>
      <c r="AM150">
        <v>25019.077000000001</v>
      </c>
      <c r="AN150">
        <v>25120.429</v>
      </c>
      <c r="AO150">
        <v>25079.66</v>
      </c>
      <c r="AP150">
        <v>24618.880000000001</v>
      </c>
      <c r="AQ150">
        <v>23711.21</v>
      </c>
      <c r="AR150">
        <v>23667.648000000001</v>
      </c>
      <c r="AS150">
        <v>23240.572</v>
      </c>
      <c r="AT150">
        <v>22500.098999999998</v>
      </c>
      <c r="AU150">
        <v>22182.085999999999</v>
      </c>
      <c r="AV150">
        <v>20688.101999999999</v>
      </c>
      <c r="AW150">
        <v>20150.04</v>
      </c>
      <c r="AX150">
        <v>19131.687000000002</v>
      </c>
      <c r="AY150">
        <v>18275.507000000001</v>
      </c>
      <c r="AZ150">
        <v>0</v>
      </c>
      <c r="BA150">
        <v>1.931</v>
      </c>
      <c r="BB150">
        <v>8.6929999999999996</v>
      </c>
      <c r="BC150">
        <v>15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3.2410000000000001</v>
      </c>
      <c r="BN150" t="str">
        <f>""</f>
        <v/>
      </c>
      <c r="BO150" t="str">
        <f>""</f>
        <v/>
      </c>
      <c r="BP150" t="str">
        <f>""</f>
        <v/>
      </c>
      <c r="BQ150" t="str">
        <f>""</f>
        <v/>
      </c>
      <c r="BR150" t="str">
        <f>""</f>
        <v/>
      </c>
      <c r="BS150" t="str">
        <f>""</f>
        <v/>
      </c>
      <c r="BT150" t="str">
        <f>""</f>
        <v/>
      </c>
      <c r="BU150" t="str">
        <f>""</f>
        <v/>
      </c>
      <c r="BV150" t="str">
        <f>""</f>
        <v/>
      </c>
      <c r="BW150" t="str">
        <f>""</f>
        <v/>
      </c>
      <c r="BX150" t="str">
        <f>""</f>
        <v/>
      </c>
      <c r="BY150" t="str">
        <f>""</f>
        <v/>
      </c>
      <c r="BZ150" t="str">
        <f>""</f>
        <v/>
      </c>
      <c r="CA150" t="str">
        <f>""</f>
        <v/>
      </c>
      <c r="CB150" t="str">
        <f>""</f>
        <v/>
      </c>
      <c r="CC150" t="str">
        <f>""</f>
        <v/>
      </c>
      <c r="CD150" t="str">
        <f>""</f>
        <v/>
      </c>
      <c r="CE150" t="str">
        <f>""</f>
        <v/>
      </c>
      <c r="CF150" t="str">
        <f>""</f>
        <v/>
      </c>
      <c r="CG150" t="str">
        <f>""</f>
        <v/>
      </c>
      <c r="CH150" t="str">
        <f>""</f>
        <v/>
      </c>
      <c r="CI150" t="str">
        <f>""</f>
        <v/>
      </c>
      <c r="CJ150" t="str">
        <f>""</f>
        <v/>
      </c>
      <c r="CK150" t="str">
        <f>""</f>
        <v/>
      </c>
      <c r="CL150" t="str">
        <f>""</f>
        <v/>
      </c>
      <c r="CM150" t="str">
        <f>""</f>
        <v/>
      </c>
      <c r="CN150" t="str">
        <f>""</f>
        <v/>
      </c>
      <c r="CO150" t="str">
        <f>""</f>
        <v/>
      </c>
      <c r="CP150" t="str">
        <f>""</f>
        <v/>
      </c>
      <c r="CQ150" t="str">
        <f>""</f>
        <v/>
      </c>
      <c r="CR150" t="str">
        <f>""</f>
        <v/>
      </c>
      <c r="CS150" t="str">
        <f>""</f>
        <v/>
      </c>
      <c r="CT150" t="str">
        <f>""</f>
        <v/>
      </c>
      <c r="CU150" t="str">
        <f>""</f>
        <v/>
      </c>
      <c r="CV150" t="str">
        <f>""</f>
        <v/>
      </c>
      <c r="CW150" t="str">
        <f>""</f>
        <v/>
      </c>
      <c r="CX150" t="str">
        <f>""</f>
        <v/>
      </c>
      <c r="CY150" t="str">
        <f>""</f>
        <v/>
      </c>
      <c r="CZ150" t="str">
        <f>""</f>
        <v/>
      </c>
      <c r="DA150" t="str">
        <f>""</f>
        <v/>
      </c>
      <c r="DB150" t="str">
        <f>""</f>
        <v/>
      </c>
      <c r="DC150" t="str">
        <f>""</f>
        <v/>
      </c>
      <c r="DD150" t="str">
        <f>""</f>
        <v/>
      </c>
      <c r="DE150" t="str">
        <f>""</f>
        <v/>
      </c>
      <c r="DF150" t="str">
        <f>""</f>
        <v/>
      </c>
      <c r="DG150" t="str">
        <f>""</f>
        <v/>
      </c>
      <c r="DH150" t="str">
        <f>""</f>
        <v/>
      </c>
      <c r="DI150" t="str">
        <f>""</f>
        <v/>
      </c>
      <c r="DJ150" t="str">
        <f>""</f>
        <v/>
      </c>
      <c r="DK150" t="str">
        <f>""</f>
        <v/>
      </c>
      <c r="DL150" t="str">
        <f>""</f>
        <v/>
      </c>
      <c r="DM150" t="str">
        <f>""</f>
        <v/>
      </c>
      <c r="DN150" t="str">
        <f>""</f>
        <v/>
      </c>
      <c r="DO150" t="str">
        <f>""</f>
        <v/>
      </c>
      <c r="DP150" t="str">
        <f>""</f>
        <v/>
      </c>
      <c r="DQ150" t="str">
        <f>""</f>
        <v/>
      </c>
      <c r="DR150" t="str">
        <f>""</f>
        <v/>
      </c>
      <c r="DS150" t="str">
        <f>""</f>
        <v/>
      </c>
      <c r="DT150" t="str">
        <f>""</f>
        <v/>
      </c>
      <c r="DU150" t="str">
        <f>""</f>
        <v/>
      </c>
    </row>
    <row r="151" spans="1:125" x14ac:dyDescent="0.25">
      <c r="A151" t="str">
        <f>$A$9</f>
        <v xml:space="preserve">                Comerica Inc</v>
      </c>
      <c r="B151" t="str">
        <f>$B$9</f>
        <v>CMA US Equity</v>
      </c>
      <c r="C151" t="str">
        <f>$C$9</f>
        <v>FC470</v>
      </c>
      <c r="D151" t="str">
        <f>$D$9</f>
        <v>FDIC_SECS_HELD_TO_MTY_BOOK_VAL</v>
      </c>
      <c r="E151" t="str">
        <f>$E$9</f>
        <v>Dynamic</v>
      </c>
      <c r="F151">
        <f ca="1">_xll.BDH($B$9,$C$9,$B$143,$B$144,CONCATENATE("Per=",$B$141),"Dts=H","Dir=H",CONCATENATE("Points=",$B$142),"Sort=R","Days=A","Fill=B",CONCATENATE("FX=", $B$140),"cols=60;rows=1")</f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0.129</v>
      </c>
      <c r="AE151">
        <v>0.115</v>
      </c>
      <c r="AF151">
        <v>9.8000000000000004E-2</v>
      </c>
      <c r="AG151">
        <v>9.4E-2</v>
      </c>
      <c r="AH151">
        <v>1266.0930000000001</v>
      </c>
      <c r="AI151">
        <v>1344.4369999999999</v>
      </c>
      <c r="AJ151">
        <v>1430.3869999999999</v>
      </c>
      <c r="AK151">
        <v>1508.3430000000001</v>
      </c>
      <c r="AL151">
        <v>1582.482</v>
      </c>
      <c r="AM151">
        <v>1694.57</v>
      </c>
      <c r="AN151">
        <v>1806.72</v>
      </c>
      <c r="AO151">
        <v>1907.404</v>
      </c>
      <c r="AP151">
        <v>1980.778</v>
      </c>
      <c r="AQ151">
        <v>1863.1590000000001</v>
      </c>
      <c r="AR151">
        <v>1951.915</v>
      </c>
      <c r="AS151">
        <v>1871.1959999999999</v>
      </c>
      <c r="AT151">
        <v>1935.3140000000001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 t="str">
        <f>""</f>
        <v/>
      </c>
      <c r="BO151" t="str">
        <f>""</f>
        <v/>
      </c>
      <c r="BP151" t="str">
        <f>""</f>
        <v/>
      </c>
      <c r="BQ151" t="str">
        <f>""</f>
        <v/>
      </c>
      <c r="BR151" t="str">
        <f>""</f>
        <v/>
      </c>
      <c r="BS151" t="str">
        <f>""</f>
        <v/>
      </c>
      <c r="BT151" t="str">
        <f>""</f>
        <v/>
      </c>
      <c r="BU151" t="str">
        <f>""</f>
        <v/>
      </c>
      <c r="BV151" t="str">
        <f>""</f>
        <v/>
      </c>
      <c r="BW151" t="str">
        <f>""</f>
        <v/>
      </c>
      <c r="BX151" t="str">
        <f>""</f>
        <v/>
      </c>
      <c r="BY151" t="str">
        <f>""</f>
        <v/>
      </c>
      <c r="BZ151" t="str">
        <f>""</f>
        <v/>
      </c>
      <c r="CA151" t="str">
        <f>""</f>
        <v/>
      </c>
      <c r="CB151" t="str">
        <f>""</f>
        <v/>
      </c>
      <c r="CC151" t="str">
        <f>""</f>
        <v/>
      </c>
      <c r="CD151" t="str">
        <f>""</f>
        <v/>
      </c>
      <c r="CE151" t="str">
        <f>""</f>
        <v/>
      </c>
      <c r="CF151" t="str">
        <f>""</f>
        <v/>
      </c>
      <c r="CG151" t="str">
        <f>""</f>
        <v/>
      </c>
      <c r="CH151" t="str">
        <f>""</f>
        <v/>
      </c>
      <c r="CI151" t="str">
        <f>""</f>
        <v/>
      </c>
      <c r="CJ151" t="str">
        <f>""</f>
        <v/>
      </c>
      <c r="CK151" t="str">
        <f>""</f>
        <v/>
      </c>
      <c r="CL151" t="str">
        <f>""</f>
        <v/>
      </c>
      <c r="CM151" t="str">
        <f>""</f>
        <v/>
      </c>
      <c r="CN151" t="str">
        <f>""</f>
        <v/>
      </c>
      <c r="CO151" t="str">
        <f>""</f>
        <v/>
      </c>
      <c r="CP151" t="str">
        <f>""</f>
        <v/>
      </c>
      <c r="CQ151" t="str">
        <f>""</f>
        <v/>
      </c>
      <c r="CR151" t="str">
        <f>""</f>
        <v/>
      </c>
      <c r="CS151" t="str">
        <f>""</f>
        <v/>
      </c>
      <c r="CT151" t="str">
        <f>""</f>
        <v/>
      </c>
      <c r="CU151" t="str">
        <f>""</f>
        <v/>
      </c>
      <c r="CV151" t="str">
        <f>""</f>
        <v/>
      </c>
      <c r="CW151" t="str">
        <f>""</f>
        <v/>
      </c>
      <c r="CX151" t="str">
        <f>""</f>
        <v/>
      </c>
      <c r="CY151" t="str">
        <f>""</f>
        <v/>
      </c>
      <c r="CZ151" t="str">
        <f>""</f>
        <v/>
      </c>
      <c r="DA151" t="str">
        <f>""</f>
        <v/>
      </c>
      <c r="DB151" t="str">
        <f>""</f>
        <v/>
      </c>
      <c r="DC151" t="str">
        <f>""</f>
        <v/>
      </c>
      <c r="DD151" t="str">
        <f>""</f>
        <v/>
      </c>
      <c r="DE151" t="str">
        <f>""</f>
        <v/>
      </c>
      <c r="DF151" t="str">
        <f>""</f>
        <v/>
      </c>
      <c r="DG151" t="str">
        <f>""</f>
        <v/>
      </c>
      <c r="DH151" t="str">
        <f>""</f>
        <v/>
      </c>
      <c r="DI151" t="str">
        <f>""</f>
        <v/>
      </c>
      <c r="DJ151" t="str">
        <f>""</f>
        <v/>
      </c>
      <c r="DK151" t="str">
        <f>""</f>
        <v/>
      </c>
      <c r="DL151" t="str">
        <f>""</f>
        <v/>
      </c>
      <c r="DM151" t="str">
        <f>""</f>
        <v/>
      </c>
      <c r="DN151" t="str">
        <f>""</f>
        <v/>
      </c>
      <c r="DO151" t="str">
        <f>""</f>
        <v/>
      </c>
      <c r="DP151" t="str">
        <f>""</f>
        <v/>
      </c>
      <c r="DQ151" t="str">
        <f>""</f>
        <v/>
      </c>
      <c r="DR151" t="str">
        <f>""</f>
        <v/>
      </c>
      <c r="DS151" t="str">
        <f>""</f>
        <v/>
      </c>
      <c r="DT151" t="str">
        <f>""</f>
        <v/>
      </c>
      <c r="DU151" t="str">
        <f>""</f>
        <v/>
      </c>
    </row>
    <row r="152" spans="1:125" x14ac:dyDescent="0.25">
      <c r="A152" t="str">
        <f>$A$10</f>
        <v xml:space="preserve">                East West Bancorp Inc</v>
      </c>
      <c r="B152" t="str">
        <f>$B$10</f>
        <v>EWBC US Equity</v>
      </c>
      <c r="C152" t="str">
        <f>$C$10</f>
        <v>FC470</v>
      </c>
      <c r="D152" t="str">
        <f>$D$10</f>
        <v>FDIC_SECS_HELD_TO_MTY_BOOK_VAL</v>
      </c>
      <c r="E152" t="str">
        <f>$E$10</f>
        <v>Dynamic</v>
      </c>
      <c r="F152">
        <f ca="1">_xll.BDH($B$10,$C$10,$B$143,$B$144,CONCATENATE("Per=",$B$141),"Dts=H","Dir=H",CONCATENATE("Points=",$B$142),"Sort=R","Days=A","Fill=B",CONCATENATE("FX=", $B$140),"cols=60;rows=1")</f>
        <v>2917.413</v>
      </c>
      <c r="G152">
        <v>2928.3989999999999</v>
      </c>
      <c r="H152">
        <v>2938.25</v>
      </c>
      <c r="I152">
        <v>2948.6419999999998</v>
      </c>
      <c r="J152">
        <v>2956.04</v>
      </c>
      <c r="K152">
        <v>2964.2350000000001</v>
      </c>
      <c r="L152">
        <v>2975.933</v>
      </c>
      <c r="M152">
        <v>2993.4209999999998</v>
      </c>
      <c r="N152">
        <v>3001.8679999999999</v>
      </c>
      <c r="O152">
        <v>3012.6669999999999</v>
      </c>
      <c r="P152">
        <v>3028.3020000000001</v>
      </c>
      <c r="Q152">
        <v>2997.7020000000002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121.131</v>
      </c>
      <c r="AK152">
        <v>132.49700000000001</v>
      </c>
      <c r="AL152">
        <v>143.971</v>
      </c>
      <c r="AM152">
        <v>154.46100000000001</v>
      </c>
      <c r="AN152">
        <v>159.208</v>
      </c>
      <c r="AO152">
        <v>160.13499999999999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 t="str">
        <f>""</f>
        <v/>
      </c>
      <c r="BO152" t="str">
        <f>""</f>
        <v/>
      </c>
      <c r="BP152" t="str">
        <f>""</f>
        <v/>
      </c>
      <c r="BQ152" t="str">
        <f>""</f>
        <v/>
      </c>
      <c r="BR152" t="str">
        <f>""</f>
        <v/>
      </c>
      <c r="BS152" t="str">
        <f>""</f>
        <v/>
      </c>
      <c r="BT152" t="str">
        <f>""</f>
        <v/>
      </c>
      <c r="BU152" t="str">
        <f>""</f>
        <v/>
      </c>
      <c r="BV152" t="str">
        <f>""</f>
        <v/>
      </c>
      <c r="BW152" t="str">
        <f>""</f>
        <v/>
      </c>
      <c r="BX152" t="str">
        <f>""</f>
        <v/>
      </c>
      <c r="BY152" t="str">
        <f>""</f>
        <v/>
      </c>
      <c r="BZ152" t="str">
        <f>""</f>
        <v/>
      </c>
      <c r="CA152" t="str">
        <f>""</f>
        <v/>
      </c>
      <c r="CB152" t="str">
        <f>""</f>
        <v/>
      </c>
      <c r="CC152" t="str">
        <f>""</f>
        <v/>
      </c>
      <c r="CD152" t="str">
        <f>""</f>
        <v/>
      </c>
      <c r="CE152" t="str">
        <f>""</f>
        <v/>
      </c>
      <c r="CF152" t="str">
        <f>""</f>
        <v/>
      </c>
      <c r="CG152" t="str">
        <f>""</f>
        <v/>
      </c>
      <c r="CH152" t="str">
        <f>""</f>
        <v/>
      </c>
      <c r="CI152" t="str">
        <f>""</f>
        <v/>
      </c>
      <c r="CJ152" t="str">
        <f>""</f>
        <v/>
      </c>
      <c r="CK152" t="str">
        <f>""</f>
        <v/>
      </c>
      <c r="CL152" t="str">
        <f>""</f>
        <v/>
      </c>
      <c r="CM152" t="str">
        <f>""</f>
        <v/>
      </c>
      <c r="CN152" t="str">
        <f>""</f>
        <v/>
      </c>
      <c r="CO152" t="str">
        <f>""</f>
        <v/>
      </c>
      <c r="CP152" t="str">
        <f>""</f>
        <v/>
      </c>
      <c r="CQ152" t="str">
        <f>""</f>
        <v/>
      </c>
      <c r="CR152" t="str">
        <f>""</f>
        <v/>
      </c>
      <c r="CS152" t="str">
        <f>""</f>
        <v/>
      </c>
      <c r="CT152" t="str">
        <f>""</f>
        <v/>
      </c>
      <c r="CU152" t="str">
        <f>""</f>
        <v/>
      </c>
      <c r="CV152" t="str">
        <f>""</f>
        <v/>
      </c>
      <c r="CW152" t="str">
        <f>""</f>
        <v/>
      </c>
      <c r="CX152" t="str">
        <f>""</f>
        <v/>
      </c>
      <c r="CY152" t="str">
        <f>""</f>
        <v/>
      </c>
      <c r="CZ152" t="str">
        <f>""</f>
        <v/>
      </c>
      <c r="DA152" t="str">
        <f>""</f>
        <v/>
      </c>
      <c r="DB152" t="str">
        <f>""</f>
        <v/>
      </c>
      <c r="DC152" t="str">
        <f>""</f>
        <v/>
      </c>
      <c r="DD152" t="str">
        <f>""</f>
        <v/>
      </c>
      <c r="DE152" t="str">
        <f>""</f>
        <v/>
      </c>
      <c r="DF152" t="str">
        <f>""</f>
        <v/>
      </c>
      <c r="DG152" t="str">
        <f>""</f>
        <v/>
      </c>
      <c r="DH152" t="str">
        <f>""</f>
        <v/>
      </c>
      <c r="DI152" t="str">
        <f>""</f>
        <v/>
      </c>
      <c r="DJ152" t="str">
        <f>""</f>
        <v/>
      </c>
      <c r="DK152" t="str">
        <f>""</f>
        <v/>
      </c>
      <c r="DL152" t="str">
        <f>""</f>
        <v/>
      </c>
      <c r="DM152" t="str">
        <f>""</f>
        <v/>
      </c>
      <c r="DN152" t="str">
        <f>""</f>
        <v/>
      </c>
      <c r="DO152" t="str">
        <f>""</f>
        <v/>
      </c>
      <c r="DP152" t="str">
        <f>""</f>
        <v/>
      </c>
      <c r="DQ152" t="str">
        <f>""</f>
        <v/>
      </c>
      <c r="DR152" t="str">
        <f>""</f>
        <v/>
      </c>
      <c r="DS152" t="str">
        <f>""</f>
        <v/>
      </c>
      <c r="DT152" t="str">
        <f>""</f>
        <v/>
      </c>
      <c r="DU152" t="str">
        <f>""</f>
        <v/>
      </c>
    </row>
    <row r="153" spans="1:125" x14ac:dyDescent="0.25">
      <c r="A153" t="str">
        <f>$A$11</f>
        <v xml:space="preserve">                Fifth Third Bancorp</v>
      </c>
      <c r="B153" t="str">
        <f>$B$11</f>
        <v>FITB US Equity</v>
      </c>
      <c r="C153" t="str">
        <f>$C$11</f>
        <v>FC470</v>
      </c>
      <c r="D153" t="str">
        <f>$D$11</f>
        <v>FDIC_SECS_HELD_TO_MTY_BOOK_VAL</v>
      </c>
      <c r="E153" t="str">
        <f>$E$11</f>
        <v>Dynamic</v>
      </c>
      <c r="F153">
        <f ca="1">_xll.BDH($B$11,$C$11,$B$143,$B$144,CONCATENATE("Per=",$B$141),"Dts=H","Dir=H",CONCATENATE("Points=",$B$142),"Sort=R","Days=A","Fill=B",CONCATENATE("FX=", $B$140),"cols=60;rows=1")</f>
        <v>11277</v>
      </c>
      <c r="G153">
        <v>11356</v>
      </c>
      <c r="H153">
        <v>11441</v>
      </c>
      <c r="I153">
        <v>11519</v>
      </c>
      <c r="J153">
        <v>0</v>
      </c>
      <c r="K153">
        <v>0</v>
      </c>
      <c r="L153">
        <v>0</v>
      </c>
      <c r="M153">
        <v>0</v>
      </c>
      <c r="N153">
        <v>3.411</v>
      </c>
      <c r="O153">
        <v>3.593</v>
      </c>
      <c r="P153">
        <v>3.7890000000000001</v>
      </c>
      <c r="Q153">
        <v>3.88</v>
      </c>
      <c r="R153">
        <v>6.2779999999999996</v>
      </c>
      <c r="S153">
        <v>6.4729999999999999</v>
      </c>
      <c r="T153">
        <v>8.7490000000000006</v>
      </c>
      <c r="U153">
        <v>8.7379999999999995</v>
      </c>
      <c r="V153">
        <v>9.0380000000000003</v>
      </c>
      <c r="W153">
        <v>13.24</v>
      </c>
      <c r="X153">
        <v>14.212999999999999</v>
      </c>
      <c r="Y153">
        <v>14.993</v>
      </c>
      <c r="Z153">
        <v>15.25</v>
      </c>
      <c r="AA153">
        <v>15.436999999999999</v>
      </c>
      <c r="AB153">
        <v>15.569000000000001</v>
      </c>
      <c r="AC153">
        <v>15.743</v>
      </c>
      <c r="AD153">
        <v>15.94</v>
      </c>
      <c r="AE153">
        <v>16.123000000000001</v>
      </c>
      <c r="AF153">
        <v>17.420999999999999</v>
      </c>
      <c r="AG153">
        <v>21.645</v>
      </c>
      <c r="AH153">
        <v>21.969000000000001</v>
      </c>
      <c r="AI153">
        <v>23.693999999999999</v>
      </c>
      <c r="AJ153">
        <v>24.012</v>
      </c>
      <c r="AK153">
        <v>24.175999999999998</v>
      </c>
      <c r="AL153">
        <v>24.49</v>
      </c>
      <c r="AM153">
        <v>54.78</v>
      </c>
      <c r="AN153">
        <v>60.128999999999998</v>
      </c>
      <c r="AO153">
        <v>62.292000000000002</v>
      </c>
      <c r="AP153">
        <v>68.105000000000004</v>
      </c>
      <c r="AQ153">
        <v>155.25700000000001</v>
      </c>
      <c r="AR153">
        <v>155.72999999999999</v>
      </c>
      <c r="AS153">
        <v>175.60900000000001</v>
      </c>
      <c r="AT153">
        <v>185.548</v>
      </c>
      <c r="AU153">
        <v>189.55600000000001</v>
      </c>
      <c r="AV153">
        <v>192.68600000000001</v>
      </c>
      <c r="AW153">
        <v>193.73099999999999</v>
      </c>
      <c r="AX153">
        <v>206.625</v>
      </c>
      <c r="AY153">
        <v>263.55099999999999</v>
      </c>
      <c r="AZ153">
        <v>272.93</v>
      </c>
      <c r="BA153">
        <v>281.75799999999998</v>
      </c>
      <c r="BB153">
        <v>282.459</v>
      </c>
      <c r="BC153">
        <v>285.10599999999999</v>
      </c>
      <c r="BD153">
        <v>303.06400000000002</v>
      </c>
      <c r="BE153">
        <v>319.202</v>
      </c>
      <c r="BF153">
        <v>320.07</v>
      </c>
      <c r="BG153">
        <v>334.745</v>
      </c>
      <c r="BH153">
        <v>340.14800000000002</v>
      </c>
      <c r="BI153">
        <v>340.721</v>
      </c>
      <c r="BJ153">
        <v>347.43299999999999</v>
      </c>
      <c r="BK153">
        <v>348.851</v>
      </c>
      <c r="BL153">
        <v>348.59899999999999</v>
      </c>
      <c r="BM153">
        <v>349.46199999999999</v>
      </c>
      <c r="BN153" t="str">
        <f>""</f>
        <v/>
      </c>
      <c r="BO153" t="str">
        <f>""</f>
        <v/>
      </c>
      <c r="BP153" t="str">
        <f>""</f>
        <v/>
      </c>
      <c r="BQ153" t="str">
        <f>""</f>
        <v/>
      </c>
      <c r="BR153" t="str">
        <f>""</f>
        <v/>
      </c>
      <c r="BS153" t="str">
        <f>""</f>
        <v/>
      </c>
      <c r="BT153" t="str">
        <f>""</f>
        <v/>
      </c>
      <c r="BU153" t="str">
        <f>""</f>
        <v/>
      </c>
      <c r="BV153" t="str">
        <f>""</f>
        <v/>
      </c>
      <c r="BW153" t="str">
        <f>""</f>
        <v/>
      </c>
      <c r="BX153" t="str">
        <f>""</f>
        <v/>
      </c>
      <c r="BY153" t="str">
        <f>""</f>
        <v/>
      </c>
      <c r="BZ153" t="str">
        <f>""</f>
        <v/>
      </c>
      <c r="CA153" t="str">
        <f>""</f>
        <v/>
      </c>
      <c r="CB153" t="str">
        <f>""</f>
        <v/>
      </c>
      <c r="CC153" t="str">
        <f>""</f>
        <v/>
      </c>
      <c r="CD153" t="str">
        <f>""</f>
        <v/>
      </c>
      <c r="CE153" t="str">
        <f>""</f>
        <v/>
      </c>
      <c r="CF153" t="str">
        <f>""</f>
        <v/>
      </c>
      <c r="CG153" t="str">
        <f>""</f>
        <v/>
      </c>
      <c r="CH153" t="str">
        <f>""</f>
        <v/>
      </c>
      <c r="CI153" t="str">
        <f>""</f>
        <v/>
      </c>
      <c r="CJ153" t="str">
        <f>""</f>
        <v/>
      </c>
      <c r="CK153" t="str">
        <f>""</f>
        <v/>
      </c>
      <c r="CL153" t="str">
        <f>""</f>
        <v/>
      </c>
      <c r="CM153" t="str">
        <f>""</f>
        <v/>
      </c>
      <c r="CN153" t="str">
        <f>""</f>
        <v/>
      </c>
      <c r="CO153" t="str">
        <f>""</f>
        <v/>
      </c>
      <c r="CP153" t="str">
        <f>""</f>
        <v/>
      </c>
      <c r="CQ153" t="str">
        <f>""</f>
        <v/>
      </c>
      <c r="CR153" t="str">
        <f>""</f>
        <v/>
      </c>
      <c r="CS153" t="str">
        <f>""</f>
        <v/>
      </c>
      <c r="CT153" t="str">
        <f>""</f>
        <v/>
      </c>
      <c r="CU153" t="str">
        <f>""</f>
        <v/>
      </c>
      <c r="CV153" t="str">
        <f>""</f>
        <v/>
      </c>
      <c r="CW153" t="str">
        <f>""</f>
        <v/>
      </c>
      <c r="CX153" t="str">
        <f>""</f>
        <v/>
      </c>
      <c r="CY153" t="str">
        <f>""</f>
        <v/>
      </c>
      <c r="CZ153" t="str">
        <f>""</f>
        <v/>
      </c>
      <c r="DA153" t="str">
        <f>""</f>
        <v/>
      </c>
      <c r="DB153" t="str">
        <f>""</f>
        <v/>
      </c>
      <c r="DC153" t="str">
        <f>""</f>
        <v/>
      </c>
      <c r="DD153" t="str">
        <f>""</f>
        <v/>
      </c>
      <c r="DE153" t="str">
        <f>""</f>
        <v/>
      </c>
      <c r="DF153" t="str">
        <f>""</f>
        <v/>
      </c>
      <c r="DG153" t="str">
        <f>""</f>
        <v/>
      </c>
      <c r="DH153" t="str">
        <f>""</f>
        <v/>
      </c>
      <c r="DI153" t="str">
        <f>""</f>
        <v/>
      </c>
      <c r="DJ153" t="str">
        <f>""</f>
        <v/>
      </c>
      <c r="DK153" t="str">
        <f>""</f>
        <v/>
      </c>
      <c r="DL153" t="str">
        <f>""</f>
        <v/>
      </c>
      <c r="DM153" t="str">
        <f>""</f>
        <v/>
      </c>
      <c r="DN153" t="str">
        <f>""</f>
        <v/>
      </c>
      <c r="DO153" t="str">
        <f>""</f>
        <v/>
      </c>
      <c r="DP153" t="str">
        <f>""</f>
        <v/>
      </c>
      <c r="DQ153" t="str">
        <f>""</f>
        <v/>
      </c>
      <c r="DR153" t="str">
        <f>""</f>
        <v/>
      </c>
      <c r="DS153" t="str">
        <f>""</f>
        <v/>
      </c>
      <c r="DT153" t="str">
        <f>""</f>
        <v/>
      </c>
      <c r="DU153" t="str">
        <f>""</f>
        <v/>
      </c>
    </row>
    <row r="154" spans="1:125" x14ac:dyDescent="0.25">
      <c r="A154" t="str">
        <f>$A$12</f>
        <v xml:space="preserve">                First Citizens BancShares Inc/</v>
      </c>
      <c r="B154" t="str">
        <f>$B$12</f>
        <v>FCNCA US Equity</v>
      </c>
      <c r="C154" t="str">
        <f>$C$12</f>
        <v>FC470</v>
      </c>
      <c r="D154" t="str">
        <f>$D$12</f>
        <v>FDIC_SECS_HELD_TO_MTY_BOOK_VAL</v>
      </c>
      <c r="E154" t="str">
        <f>$E$12</f>
        <v>Dynamic</v>
      </c>
      <c r="F154">
        <f ca="1">_xll.BDH($B$12,$C$12,$B$143,$B$144,CONCATENATE("Per=",$B$141),"Dts=H","Dir=H",CONCATENATE("Points=",$B$142),"Sort=R","Days=A","Fill=B",CONCATENATE("FX=", $B$140),"cols=60;rows=1")</f>
        <v>10237</v>
      </c>
      <c r="G154">
        <v>10390</v>
      </c>
      <c r="H154">
        <v>10534</v>
      </c>
      <c r="I154">
        <v>10048</v>
      </c>
      <c r="J154">
        <v>9976.9369999999999</v>
      </c>
      <c r="K154">
        <v>10079.885</v>
      </c>
      <c r="L154">
        <v>10198.781999999999</v>
      </c>
      <c r="M154">
        <v>10379.163</v>
      </c>
      <c r="N154">
        <v>10276.849</v>
      </c>
      <c r="O154">
        <v>9658.3119999999999</v>
      </c>
      <c r="P154">
        <v>9829.2219999999998</v>
      </c>
      <c r="Q154">
        <v>10069.647999999999</v>
      </c>
      <c r="R154">
        <v>3807.4450000000002</v>
      </c>
      <c r="S154">
        <v>3379.069</v>
      </c>
      <c r="T154">
        <v>3392.5970000000002</v>
      </c>
      <c r="U154">
        <v>2806.0920000000001</v>
      </c>
      <c r="V154">
        <v>2814.7260000000001</v>
      </c>
      <c r="W154">
        <v>745.476</v>
      </c>
      <c r="X154">
        <v>771.87199999999996</v>
      </c>
      <c r="Y154">
        <v>720.44100000000003</v>
      </c>
      <c r="Z154">
        <v>0</v>
      </c>
      <c r="AA154">
        <v>2115.1410000000001</v>
      </c>
      <c r="AB154">
        <v>2182.5</v>
      </c>
      <c r="AC154">
        <v>2214.8290000000002</v>
      </c>
      <c r="AD154">
        <v>2184.6529999999998</v>
      </c>
      <c r="AE154">
        <v>2253.4160000000002</v>
      </c>
      <c r="AF154">
        <v>2299.7739999999999</v>
      </c>
      <c r="AG154">
        <v>7.3999999999999996E-2</v>
      </c>
      <c r="AH154">
        <v>7.5999999999999998E-2</v>
      </c>
      <c r="AI154">
        <v>7.8E-2</v>
      </c>
      <c r="AJ154">
        <v>0.08</v>
      </c>
      <c r="AK154">
        <v>8.3000000000000004E-2</v>
      </c>
      <c r="AL154">
        <v>9.8000000000000004E-2</v>
      </c>
      <c r="AM154">
        <v>0.125</v>
      </c>
      <c r="AN154">
        <v>0.156</v>
      </c>
      <c r="AO154">
        <v>0.19400000000000001</v>
      </c>
      <c r="AP154">
        <v>0.255</v>
      </c>
      <c r="AQ154">
        <v>0.30099999999999999</v>
      </c>
      <c r="AR154">
        <v>0.35099999999999998</v>
      </c>
      <c r="AS154">
        <v>0.441</v>
      </c>
      <c r="AT154">
        <v>0.51800000000000002</v>
      </c>
      <c r="AU154">
        <v>0.60699999999999998</v>
      </c>
      <c r="AV154">
        <v>0.69299999999999995</v>
      </c>
      <c r="AW154">
        <v>0.78200000000000003</v>
      </c>
      <c r="AX154">
        <v>0.90700000000000003</v>
      </c>
      <c r="AY154">
        <v>1.0129999999999999</v>
      </c>
      <c r="AZ154">
        <v>1.131</v>
      </c>
      <c r="BA154">
        <v>1.2290000000000001</v>
      </c>
      <c r="BB154">
        <v>1.3420000000000001</v>
      </c>
      <c r="BC154">
        <v>1.4590000000000001</v>
      </c>
      <c r="BD154">
        <v>1.5780000000000001</v>
      </c>
      <c r="BE154">
        <v>1.6879999999999999</v>
      </c>
      <c r="BF154">
        <v>1.8220000000000001</v>
      </c>
      <c r="BG154">
        <v>1.9430000000000001</v>
      </c>
      <c r="BH154">
        <v>2.0979999999999999</v>
      </c>
      <c r="BI154">
        <v>2.3410000000000002</v>
      </c>
      <c r="BJ154">
        <v>2.532</v>
      </c>
      <c r="BK154">
        <v>2.645</v>
      </c>
      <c r="BL154">
        <v>3.0840000000000001</v>
      </c>
      <c r="BM154">
        <v>3.323</v>
      </c>
      <c r="BN154" t="str">
        <f>""</f>
        <v/>
      </c>
      <c r="BO154" t="str">
        <f>""</f>
        <v/>
      </c>
      <c r="BP154" t="str">
        <f>""</f>
        <v/>
      </c>
      <c r="BQ154" t="str">
        <f>""</f>
        <v/>
      </c>
      <c r="BR154" t="str">
        <f>""</f>
        <v/>
      </c>
      <c r="BS154" t="str">
        <f>""</f>
        <v/>
      </c>
      <c r="BT154" t="str">
        <f>""</f>
        <v/>
      </c>
      <c r="BU154" t="str">
        <f>""</f>
        <v/>
      </c>
      <c r="BV154" t="str">
        <f>""</f>
        <v/>
      </c>
      <c r="BW154" t="str">
        <f>""</f>
        <v/>
      </c>
      <c r="BX154" t="str">
        <f>""</f>
        <v/>
      </c>
      <c r="BY154" t="str">
        <f>""</f>
        <v/>
      </c>
      <c r="BZ154" t="str">
        <f>""</f>
        <v/>
      </c>
      <c r="CA154" t="str">
        <f>""</f>
        <v/>
      </c>
      <c r="CB154" t="str">
        <f>""</f>
        <v/>
      </c>
      <c r="CC154" t="str">
        <f>""</f>
        <v/>
      </c>
      <c r="CD154" t="str">
        <f>""</f>
        <v/>
      </c>
      <c r="CE154" t="str">
        <f>""</f>
        <v/>
      </c>
      <c r="CF154" t="str">
        <f>""</f>
        <v/>
      </c>
      <c r="CG154" t="str">
        <f>""</f>
        <v/>
      </c>
      <c r="CH154" t="str">
        <f>""</f>
        <v/>
      </c>
      <c r="CI154" t="str">
        <f>""</f>
        <v/>
      </c>
      <c r="CJ154" t="str">
        <f>""</f>
        <v/>
      </c>
      <c r="CK154" t="str">
        <f>""</f>
        <v/>
      </c>
      <c r="CL154" t="str">
        <f>""</f>
        <v/>
      </c>
      <c r="CM154" t="str">
        <f>""</f>
        <v/>
      </c>
      <c r="CN154" t="str">
        <f>""</f>
        <v/>
      </c>
      <c r="CO154" t="str">
        <f>""</f>
        <v/>
      </c>
      <c r="CP154" t="str">
        <f>""</f>
        <v/>
      </c>
      <c r="CQ154" t="str">
        <f>""</f>
        <v/>
      </c>
      <c r="CR154" t="str">
        <f>""</f>
        <v/>
      </c>
      <c r="CS154" t="str">
        <f>""</f>
        <v/>
      </c>
      <c r="CT154" t="str">
        <f>""</f>
        <v/>
      </c>
      <c r="CU154" t="str">
        <f>""</f>
        <v/>
      </c>
      <c r="CV154" t="str">
        <f>""</f>
        <v/>
      </c>
      <c r="CW154" t="str">
        <f>""</f>
        <v/>
      </c>
      <c r="CX154" t="str">
        <f>""</f>
        <v/>
      </c>
      <c r="CY154" t="str">
        <f>""</f>
        <v/>
      </c>
      <c r="CZ154" t="str">
        <f>""</f>
        <v/>
      </c>
      <c r="DA154" t="str">
        <f>""</f>
        <v/>
      </c>
      <c r="DB154" t="str">
        <f>""</f>
        <v/>
      </c>
      <c r="DC154" t="str">
        <f>""</f>
        <v/>
      </c>
      <c r="DD154" t="str">
        <f>""</f>
        <v/>
      </c>
      <c r="DE154" t="str">
        <f>""</f>
        <v/>
      </c>
      <c r="DF154" t="str">
        <f>""</f>
        <v/>
      </c>
      <c r="DG154" t="str">
        <f>""</f>
        <v/>
      </c>
      <c r="DH154" t="str">
        <f>""</f>
        <v/>
      </c>
      <c r="DI154" t="str">
        <f>""</f>
        <v/>
      </c>
      <c r="DJ154" t="str">
        <f>""</f>
        <v/>
      </c>
      <c r="DK154" t="str">
        <f>""</f>
        <v/>
      </c>
      <c r="DL154" t="str">
        <f>""</f>
        <v/>
      </c>
      <c r="DM154" t="str">
        <f>""</f>
        <v/>
      </c>
      <c r="DN154" t="str">
        <f>""</f>
        <v/>
      </c>
      <c r="DO154" t="str">
        <f>""</f>
        <v/>
      </c>
      <c r="DP154" t="str">
        <f>""</f>
        <v/>
      </c>
      <c r="DQ154" t="str">
        <f>""</f>
        <v/>
      </c>
      <c r="DR154" t="str">
        <f>""</f>
        <v/>
      </c>
      <c r="DS154" t="str">
        <f>""</f>
        <v/>
      </c>
      <c r="DT154" t="str">
        <f>""</f>
        <v/>
      </c>
      <c r="DU154" t="str">
        <f>""</f>
        <v/>
      </c>
    </row>
    <row r="155" spans="1:125" x14ac:dyDescent="0.25">
      <c r="A155" t="str">
        <f>$A$13</f>
        <v xml:space="preserve">                Flagstar Financial Inc</v>
      </c>
      <c r="B155" t="str">
        <f>$B$13</f>
        <v>FLG US Equity</v>
      </c>
      <c r="C155" t="str">
        <f>$C$13</f>
        <v>FC470</v>
      </c>
      <c r="D155" t="str">
        <f>$D$13</f>
        <v>FDIC_SECS_HELD_TO_MTY_BOOK_VAL</v>
      </c>
      <c r="E155" t="str">
        <f>$E$13</f>
        <v>Dynamic</v>
      </c>
      <c r="F155">
        <f ca="1">_xll.BDH($B$13,$C$13,$B$143,$B$144,CONCATENATE("Per=",$B$141),"Dts=H","Dir=H",CONCATENATE("Points=",$B$142),"Sort=R","Days=A","Fill=B",CONCATENATE("FX=", $B$140),"cols=60;rows=1")</f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3642.1039999999998</v>
      </c>
      <c r="AL155">
        <v>3712.7759999999998</v>
      </c>
      <c r="AM155">
        <v>3651.9250000000002</v>
      </c>
      <c r="AN155">
        <v>3822.5610000000001</v>
      </c>
      <c r="AO155">
        <v>4068.75</v>
      </c>
      <c r="AP155">
        <v>5969.39</v>
      </c>
      <c r="AQ155">
        <v>6597.2839999999997</v>
      </c>
      <c r="AR155">
        <v>6658.3620000000001</v>
      </c>
      <c r="AS155">
        <v>6784.8810000000003</v>
      </c>
      <c r="AT155">
        <v>6922.6660000000002</v>
      </c>
      <c r="AU155">
        <v>7268.2439999999997</v>
      </c>
      <c r="AV155">
        <v>7547.9110000000001</v>
      </c>
      <c r="AW155">
        <v>7707.0919999999996</v>
      </c>
      <c r="AX155">
        <v>7670.2820000000002</v>
      </c>
      <c r="AY155">
        <v>6777.7160000000003</v>
      </c>
      <c r="AZ155">
        <v>5626.6049999999996</v>
      </c>
      <c r="BA155">
        <v>5139.8270000000002</v>
      </c>
      <c r="BB155">
        <v>4484.2619999999997</v>
      </c>
      <c r="BC155">
        <v>4765.6940000000004</v>
      </c>
      <c r="BD155">
        <v>3853.587</v>
      </c>
      <c r="BE155">
        <v>4305.0709999999999</v>
      </c>
      <c r="BF155">
        <v>3815.8539999999998</v>
      </c>
      <c r="BG155">
        <v>4648.5519999999997</v>
      </c>
      <c r="BH155">
        <v>5506.6450000000004</v>
      </c>
      <c r="BI155">
        <v>4304.2190000000001</v>
      </c>
      <c r="BJ155">
        <v>4135.9350000000004</v>
      </c>
      <c r="BK155">
        <v>3997.7930000000001</v>
      </c>
      <c r="BL155">
        <v>3765.3139999999999</v>
      </c>
      <c r="BM155">
        <v>4445.18</v>
      </c>
      <c r="BN155" t="str">
        <f>""</f>
        <v/>
      </c>
      <c r="BO155" t="str">
        <f>""</f>
        <v/>
      </c>
      <c r="BP155" t="str">
        <f>""</f>
        <v/>
      </c>
      <c r="BQ155" t="str">
        <f>""</f>
        <v/>
      </c>
      <c r="BR155" t="str">
        <f>""</f>
        <v/>
      </c>
      <c r="BS155" t="str">
        <f>""</f>
        <v/>
      </c>
      <c r="BT155" t="str">
        <f>""</f>
        <v/>
      </c>
      <c r="BU155" t="str">
        <f>""</f>
        <v/>
      </c>
      <c r="BV155" t="str">
        <f>""</f>
        <v/>
      </c>
      <c r="BW155" t="str">
        <f>""</f>
        <v/>
      </c>
      <c r="BX155" t="str">
        <f>""</f>
        <v/>
      </c>
      <c r="BY155" t="str">
        <f>""</f>
        <v/>
      </c>
      <c r="BZ155" t="str">
        <f>""</f>
        <v/>
      </c>
      <c r="CA155" t="str">
        <f>""</f>
        <v/>
      </c>
      <c r="CB155" t="str">
        <f>""</f>
        <v/>
      </c>
      <c r="CC155" t="str">
        <f>""</f>
        <v/>
      </c>
      <c r="CD155" t="str">
        <f>""</f>
        <v/>
      </c>
      <c r="CE155" t="str">
        <f>""</f>
        <v/>
      </c>
      <c r="CF155" t="str">
        <f>""</f>
        <v/>
      </c>
      <c r="CG155" t="str">
        <f>""</f>
        <v/>
      </c>
      <c r="CH155" t="str">
        <f>""</f>
        <v/>
      </c>
      <c r="CI155" t="str">
        <f>""</f>
        <v/>
      </c>
      <c r="CJ155" t="str">
        <f>""</f>
        <v/>
      </c>
      <c r="CK155" t="str">
        <f>""</f>
        <v/>
      </c>
      <c r="CL155" t="str">
        <f>""</f>
        <v/>
      </c>
      <c r="CM155" t="str">
        <f>""</f>
        <v/>
      </c>
      <c r="CN155" t="str">
        <f>""</f>
        <v/>
      </c>
      <c r="CO155" t="str">
        <f>""</f>
        <v/>
      </c>
      <c r="CP155" t="str">
        <f>""</f>
        <v/>
      </c>
      <c r="CQ155" t="str">
        <f>""</f>
        <v/>
      </c>
      <c r="CR155" t="str">
        <f>""</f>
        <v/>
      </c>
      <c r="CS155" t="str">
        <f>""</f>
        <v/>
      </c>
      <c r="CT155" t="str">
        <f>""</f>
        <v/>
      </c>
      <c r="CU155" t="str">
        <f>""</f>
        <v/>
      </c>
      <c r="CV155" t="str">
        <f>""</f>
        <v/>
      </c>
      <c r="CW155" t="str">
        <f>""</f>
        <v/>
      </c>
      <c r="CX155" t="str">
        <f>""</f>
        <v/>
      </c>
      <c r="CY155" t="str">
        <f>""</f>
        <v/>
      </c>
      <c r="CZ155" t="str">
        <f>""</f>
        <v/>
      </c>
      <c r="DA155" t="str">
        <f>""</f>
        <v/>
      </c>
      <c r="DB155" t="str">
        <f>""</f>
        <v/>
      </c>
      <c r="DC155" t="str">
        <f>""</f>
        <v/>
      </c>
      <c r="DD155" t="str">
        <f>""</f>
        <v/>
      </c>
      <c r="DE155" t="str">
        <f>""</f>
        <v/>
      </c>
      <c r="DF155" t="str">
        <f>""</f>
        <v/>
      </c>
      <c r="DG155" t="str">
        <f>""</f>
        <v/>
      </c>
      <c r="DH155" t="str">
        <f>""</f>
        <v/>
      </c>
      <c r="DI155" t="str">
        <f>""</f>
        <v/>
      </c>
      <c r="DJ155" t="str">
        <f>""</f>
        <v/>
      </c>
      <c r="DK155" t="str">
        <f>""</f>
        <v/>
      </c>
      <c r="DL155" t="str">
        <f>""</f>
        <v/>
      </c>
      <c r="DM155" t="str">
        <f>""</f>
        <v/>
      </c>
      <c r="DN155" t="str">
        <f>""</f>
        <v/>
      </c>
      <c r="DO155" t="str">
        <f>""</f>
        <v/>
      </c>
      <c r="DP155" t="str">
        <f>""</f>
        <v/>
      </c>
      <c r="DQ155" t="str">
        <f>""</f>
        <v/>
      </c>
      <c r="DR155" t="str">
        <f>""</f>
        <v/>
      </c>
      <c r="DS155" t="str">
        <f>""</f>
        <v/>
      </c>
      <c r="DT155" t="str">
        <f>""</f>
        <v/>
      </c>
      <c r="DU155" t="str">
        <f>""</f>
        <v/>
      </c>
    </row>
    <row r="156" spans="1:125" x14ac:dyDescent="0.25">
      <c r="A156" t="str">
        <f>$A$14</f>
        <v xml:space="preserve">                Huntington Bancshares Inc/OH</v>
      </c>
      <c r="B156" t="str">
        <f>$B$14</f>
        <v>HBAN US Equity</v>
      </c>
      <c r="C156" t="str">
        <f>$C$14</f>
        <v>FC470</v>
      </c>
      <c r="D156" t="str">
        <f>$D$14</f>
        <v>FDIC_SECS_HELD_TO_MTY_BOOK_VAL</v>
      </c>
      <c r="E156" t="str">
        <f>$E$14</f>
        <v>Dynamic</v>
      </c>
      <c r="F156">
        <f ca="1">_xll.BDH($B$14,$C$14,$B$143,$B$144,CONCATENATE("Per=",$B$141),"Dts=H","Dir=H",CONCATENATE("Points=",$B$142),"Sort=R","Days=A","Fill=B",CONCATENATE("FX=", $B$140),"cols=60;rows=1")</f>
        <v>16368.063</v>
      </c>
      <c r="G156">
        <v>15670.222</v>
      </c>
      <c r="H156">
        <v>15036.319</v>
      </c>
      <c r="I156">
        <v>15416.141</v>
      </c>
      <c r="J156">
        <v>15749.843999999999</v>
      </c>
      <c r="K156">
        <v>16147.807000000001</v>
      </c>
      <c r="L156">
        <v>16578.154999999999</v>
      </c>
      <c r="M156">
        <v>16977.431</v>
      </c>
      <c r="N156">
        <v>17051.511999999999</v>
      </c>
      <c r="O156">
        <v>17173.244999999999</v>
      </c>
      <c r="P156">
        <v>17355.256000000001</v>
      </c>
      <c r="Q156">
        <v>17189.989000000001</v>
      </c>
      <c r="R156">
        <v>12446.603999999999</v>
      </c>
      <c r="S156">
        <v>12454.611999999999</v>
      </c>
      <c r="T156">
        <v>11415</v>
      </c>
      <c r="U156">
        <v>7814.8990000000003</v>
      </c>
      <c r="V156">
        <v>8861.0889999999999</v>
      </c>
      <c r="W156">
        <v>8556.9169999999995</v>
      </c>
      <c r="X156">
        <v>9415.7029999999995</v>
      </c>
      <c r="Y156">
        <v>10192.565000000001</v>
      </c>
      <c r="Z156">
        <v>9069.6</v>
      </c>
      <c r="AA156">
        <v>8429.5409999999993</v>
      </c>
      <c r="AB156">
        <v>8704.3909999999996</v>
      </c>
      <c r="AC156">
        <v>8747.24</v>
      </c>
      <c r="AD156">
        <v>8564.6409999999996</v>
      </c>
      <c r="AE156">
        <v>8465.2829999999994</v>
      </c>
      <c r="AF156">
        <v>8681.6669999999995</v>
      </c>
      <c r="AG156">
        <v>8788.7610000000004</v>
      </c>
      <c r="AH156">
        <v>9090.9500000000007</v>
      </c>
      <c r="AI156">
        <v>8688.3989999999994</v>
      </c>
      <c r="AJ156">
        <v>8279.5769999999993</v>
      </c>
      <c r="AK156">
        <v>7533.5169999999998</v>
      </c>
      <c r="AL156">
        <v>7806.9390000000003</v>
      </c>
      <c r="AM156">
        <v>5301.3869999999997</v>
      </c>
      <c r="AN156">
        <v>5658.5649999999996</v>
      </c>
      <c r="AO156">
        <v>5946.1440000000002</v>
      </c>
      <c r="AP156">
        <v>6159.59</v>
      </c>
      <c r="AQ156">
        <v>3157.6880000000001</v>
      </c>
      <c r="AR156">
        <v>3304.16</v>
      </c>
      <c r="AS156">
        <v>3336.663</v>
      </c>
      <c r="AT156">
        <v>3379.9050000000002</v>
      </c>
      <c r="AU156">
        <v>3496.4929999999999</v>
      </c>
      <c r="AV156">
        <v>3621.9949999999999</v>
      </c>
      <c r="AW156">
        <v>3734.723</v>
      </c>
      <c r="AX156">
        <v>3836.6669999999999</v>
      </c>
      <c r="AY156">
        <v>2236.1210000000001</v>
      </c>
      <c r="AZ156">
        <v>2172.2289999999998</v>
      </c>
      <c r="BA156">
        <v>1693.0740000000001</v>
      </c>
      <c r="BB156">
        <v>1743.876</v>
      </c>
      <c r="BC156">
        <v>1582.15</v>
      </c>
      <c r="BD156">
        <v>598.38499999999999</v>
      </c>
      <c r="BE156">
        <v>621.798</v>
      </c>
      <c r="BF156">
        <v>640.55100000000004</v>
      </c>
      <c r="BG156">
        <v>658.25</v>
      </c>
      <c r="BH156">
        <v>670.47799999999995</v>
      </c>
      <c r="BI156">
        <v>0</v>
      </c>
      <c r="BJ156">
        <v>0</v>
      </c>
      <c r="BK156">
        <v>0</v>
      </c>
      <c r="BL156">
        <v>0</v>
      </c>
      <c r="BM156">
        <v>0</v>
      </c>
      <c r="BN156" t="str">
        <f>""</f>
        <v/>
      </c>
      <c r="BO156" t="str">
        <f>""</f>
        <v/>
      </c>
      <c r="BP156" t="str">
        <f>""</f>
        <v/>
      </c>
      <c r="BQ156" t="str">
        <f>""</f>
        <v/>
      </c>
      <c r="BR156" t="str">
        <f>""</f>
        <v/>
      </c>
      <c r="BS156" t="str">
        <f>""</f>
        <v/>
      </c>
      <c r="BT156" t="str">
        <f>""</f>
        <v/>
      </c>
      <c r="BU156" t="str">
        <f>""</f>
        <v/>
      </c>
      <c r="BV156" t="str">
        <f>""</f>
        <v/>
      </c>
      <c r="BW156" t="str">
        <f>""</f>
        <v/>
      </c>
      <c r="BX156" t="str">
        <f>""</f>
        <v/>
      </c>
      <c r="BY156" t="str">
        <f>""</f>
        <v/>
      </c>
      <c r="BZ156" t="str">
        <f>""</f>
        <v/>
      </c>
      <c r="CA156" t="str">
        <f>""</f>
        <v/>
      </c>
      <c r="CB156" t="str">
        <f>""</f>
        <v/>
      </c>
      <c r="CC156" t="str">
        <f>""</f>
        <v/>
      </c>
      <c r="CD156" t="str">
        <f>""</f>
        <v/>
      </c>
      <c r="CE156" t="str">
        <f>""</f>
        <v/>
      </c>
      <c r="CF156" t="str">
        <f>""</f>
        <v/>
      </c>
      <c r="CG156" t="str">
        <f>""</f>
        <v/>
      </c>
      <c r="CH156" t="str">
        <f>""</f>
        <v/>
      </c>
      <c r="CI156" t="str">
        <f>""</f>
        <v/>
      </c>
      <c r="CJ156" t="str">
        <f>""</f>
        <v/>
      </c>
      <c r="CK156" t="str">
        <f>""</f>
        <v/>
      </c>
      <c r="CL156" t="str">
        <f>""</f>
        <v/>
      </c>
      <c r="CM156" t="str">
        <f>""</f>
        <v/>
      </c>
      <c r="CN156" t="str">
        <f>""</f>
        <v/>
      </c>
      <c r="CO156" t="str">
        <f>""</f>
        <v/>
      </c>
      <c r="CP156" t="str">
        <f>""</f>
        <v/>
      </c>
      <c r="CQ156" t="str">
        <f>""</f>
        <v/>
      </c>
      <c r="CR156" t="str">
        <f>""</f>
        <v/>
      </c>
      <c r="CS156" t="str">
        <f>""</f>
        <v/>
      </c>
      <c r="CT156" t="str">
        <f>""</f>
        <v/>
      </c>
      <c r="CU156" t="str">
        <f>""</f>
        <v/>
      </c>
      <c r="CV156" t="str">
        <f>""</f>
        <v/>
      </c>
      <c r="CW156" t="str">
        <f>""</f>
        <v/>
      </c>
      <c r="CX156" t="str">
        <f>""</f>
        <v/>
      </c>
      <c r="CY156" t="str">
        <f>""</f>
        <v/>
      </c>
      <c r="CZ156" t="str">
        <f>""</f>
        <v/>
      </c>
      <c r="DA156" t="str">
        <f>""</f>
        <v/>
      </c>
      <c r="DB156" t="str">
        <f>""</f>
        <v/>
      </c>
      <c r="DC156" t="str">
        <f>""</f>
        <v/>
      </c>
      <c r="DD156" t="str">
        <f>""</f>
        <v/>
      </c>
      <c r="DE156" t="str">
        <f>""</f>
        <v/>
      </c>
      <c r="DF156" t="str">
        <f>""</f>
        <v/>
      </c>
      <c r="DG156" t="str">
        <f>""</f>
        <v/>
      </c>
      <c r="DH156" t="str">
        <f>""</f>
        <v/>
      </c>
      <c r="DI156" t="str">
        <f>""</f>
        <v/>
      </c>
      <c r="DJ156" t="str">
        <f>""</f>
        <v/>
      </c>
      <c r="DK156" t="str">
        <f>""</f>
        <v/>
      </c>
      <c r="DL156" t="str">
        <f>""</f>
        <v/>
      </c>
      <c r="DM156" t="str">
        <f>""</f>
        <v/>
      </c>
      <c r="DN156" t="str">
        <f>""</f>
        <v/>
      </c>
      <c r="DO156" t="str">
        <f>""</f>
        <v/>
      </c>
      <c r="DP156" t="str">
        <f>""</f>
        <v/>
      </c>
      <c r="DQ156" t="str">
        <f>""</f>
        <v/>
      </c>
      <c r="DR156" t="str">
        <f>""</f>
        <v/>
      </c>
      <c r="DS156" t="str">
        <f>""</f>
        <v/>
      </c>
      <c r="DT156" t="str">
        <f>""</f>
        <v/>
      </c>
      <c r="DU156" t="str">
        <f>""</f>
        <v/>
      </c>
    </row>
    <row r="157" spans="1:125" x14ac:dyDescent="0.25">
      <c r="A157" t="str">
        <f>$A$15</f>
        <v xml:space="preserve">                JPMorgan Chase &amp; Co</v>
      </c>
      <c r="B157" t="str">
        <f>$B$15</f>
        <v>JPM US Equity</v>
      </c>
      <c r="C157" t="str">
        <f>$C$15</f>
        <v>FC470</v>
      </c>
      <c r="D157" t="str">
        <f>$D$15</f>
        <v>FDIC_SECS_HELD_TO_MTY_BOOK_VAL</v>
      </c>
      <c r="E157" t="str">
        <f>$E$15</f>
        <v>Dynamic</v>
      </c>
      <c r="F157">
        <f ca="1">_xll.BDH($B$15,$C$15,$B$143,$B$144,CONCATENATE("Per=",$B$141),"Dts=H","Dir=H",CONCATENATE("Points=",$B$142),"Sort=R","Days=A","Fill=B",CONCATENATE("FX=", $B$140),"cols=60;rows=1")</f>
        <v>274571</v>
      </c>
      <c r="G157">
        <v>300077</v>
      </c>
      <c r="H157">
        <v>323871</v>
      </c>
      <c r="I157">
        <v>334647</v>
      </c>
      <c r="J157">
        <v>369942</v>
      </c>
      <c r="K157">
        <v>388348</v>
      </c>
      <c r="L157">
        <v>409015</v>
      </c>
      <c r="M157">
        <v>412888</v>
      </c>
      <c r="N157">
        <v>425372</v>
      </c>
      <c r="O157">
        <v>430157</v>
      </c>
      <c r="P157">
        <v>441696</v>
      </c>
      <c r="Q157">
        <v>366624</v>
      </c>
      <c r="R157">
        <v>363746</v>
      </c>
      <c r="S157">
        <v>343612</v>
      </c>
      <c r="T157">
        <v>341560</v>
      </c>
      <c r="U157">
        <v>217546</v>
      </c>
      <c r="V157">
        <v>201899</v>
      </c>
      <c r="W157">
        <v>141673</v>
      </c>
      <c r="X157">
        <v>72931</v>
      </c>
      <c r="Y157">
        <v>71219</v>
      </c>
      <c r="Z157">
        <v>47540</v>
      </c>
      <c r="AA157">
        <v>40830</v>
      </c>
      <c r="AB157">
        <v>30907</v>
      </c>
      <c r="AC157">
        <v>30849</v>
      </c>
      <c r="AD157">
        <v>31434</v>
      </c>
      <c r="AE157">
        <v>31368</v>
      </c>
      <c r="AF157">
        <v>31006</v>
      </c>
      <c r="AG157">
        <v>29042</v>
      </c>
      <c r="AH157">
        <v>47733</v>
      </c>
      <c r="AI157">
        <v>47079</v>
      </c>
      <c r="AJ157">
        <v>47761</v>
      </c>
      <c r="AK157">
        <v>48913</v>
      </c>
      <c r="AL157">
        <v>50168</v>
      </c>
      <c r="AM157">
        <v>52011</v>
      </c>
      <c r="AN157">
        <v>53811</v>
      </c>
      <c r="AO157">
        <v>47932</v>
      </c>
      <c r="AP157">
        <v>49073</v>
      </c>
      <c r="AQ157">
        <v>50169</v>
      </c>
      <c r="AR157">
        <v>51594</v>
      </c>
      <c r="AS157">
        <v>49264</v>
      </c>
      <c r="AT157">
        <v>49252</v>
      </c>
      <c r="AU157">
        <v>48826</v>
      </c>
      <c r="AV157">
        <v>47849</v>
      </c>
      <c r="AW157">
        <v>47271</v>
      </c>
      <c r="AX157">
        <v>24026</v>
      </c>
      <c r="AY157">
        <v>4516</v>
      </c>
      <c r="AZ157">
        <v>6</v>
      </c>
      <c r="BA157">
        <v>7</v>
      </c>
      <c r="BB157">
        <v>7</v>
      </c>
      <c r="BC157">
        <v>9</v>
      </c>
      <c r="BD157">
        <v>10</v>
      </c>
      <c r="BE157">
        <v>11</v>
      </c>
      <c r="BF157">
        <v>12</v>
      </c>
      <c r="BG157">
        <v>13</v>
      </c>
      <c r="BH157">
        <v>15</v>
      </c>
      <c r="BI157">
        <v>16</v>
      </c>
      <c r="BJ157">
        <v>18</v>
      </c>
      <c r="BK157">
        <v>19</v>
      </c>
      <c r="BL157">
        <v>21</v>
      </c>
      <c r="BM157">
        <v>23</v>
      </c>
      <c r="BN157" t="str">
        <f>""</f>
        <v/>
      </c>
      <c r="BO157" t="str">
        <f>""</f>
        <v/>
      </c>
      <c r="BP157" t="str">
        <f>""</f>
        <v/>
      </c>
      <c r="BQ157" t="str">
        <f>""</f>
        <v/>
      </c>
      <c r="BR157" t="str">
        <f>""</f>
        <v/>
      </c>
      <c r="BS157" t="str">
        <f>""</f>
        <v/>
      </c>
      <c r="BT157" t="str">
        <f>""</f>
        <v/>
      </c>
      <c r="BU157" t="str">
        <f>""</f>
        <v/>
      </c>
      <c r="BV157" t="str">
        <f>""</f>
        <v/>
      </c>
      <c r="BW157" t="str">
        <f>""</f>
        <v/>
      </c>
      <c r="BX157" t="str">
        <f>""</f>
        <v/>
      </c>
      <c r="BY157" t="str">
        <f>""</f>
        <v/>
      </c>
      <c r="BZ157" t="str">
        <f>""</f>
        <v/>
      </c>
      <c r="CA157" t="str">
        <f>""</f>
        <v/>
      </c>
      <c r="CB157" t="str">
        <f>""</f>
        <v/>
      </c>
      <c r="CC157" t="str">
        <f>""</f>
        <v/>
      </c>
      <c r="CD157" t="str">
        <f>""</f>
        <v/>
      </c>
      <c r="CE157" t="str">
        <f>""</f>
        <v/>
      </c>
      <c r="CF157" t="str">
        <f>""</f>
        <v/>
      </c>
      <c r="CG157" t="str">
        <f>""</f>
        <v/>
      </c>
      <c r="CH157" t="str">
        <f>""</f>
        <v/>
      </c>
      <c r="CI157" t="str">
        <f>""</f>
        <v/>
      </c>
      <c r="CJ157" t="str">
        <f>""</f>
        <v/>
      </c>
      <c r="CK157" t="str">
        <f>""</f>
        <v/>
      </c>
      <c r="CL157" t="str">
        <f>""</f>
        <v/>
      </c>
      <c r="CM157" t="str">
        <f>""</f>
        <v/>
      </c>
      <c r="CN157" t="str">
        <f>""</f>
        <v/>
      </c>
      <c r="CO157" t="str">
        <f>""</f>
        <v/>
      </c>
      <c r="CP157" t="str">
        <f>""</f>
        <v/>
      </c>
      <c r="CQ157" t="str">
        <f>""</f>
        <v/>
      </c>
      <c r="CR157" t="str">
        <f>""</f>
        <v/>
      </c>
      <c r="CS157" t="str">
        <f>""</f>
        <v/>
      </c>
      <c r="CT157" t="str">
        <f>""</f>
        <v/>
      </c>
      <c r="CU157" t="str">
        <f>""</f>
        <v/>
      </c>
      <c r="CV157" t="str">
        <f>""</f>
        <v/>
      </c>
      <c r="CW157" t="str">
        <f>""</f>
        <v/>
      </c>
      <c r="CX157" t="str">
        <f>""</f>
        <v/>
      </c>
      <c r="CY157" t="str">
        <f>""</f>
        <v/>
      </c>
      <c r="CZ157" t="str">
        <f>""</f>
        <v/>
      </c>
      <c r="DA157" t="str">
        <f>""</f>
        <v/>
      </c>
      <c r="DB157" t="str">
        <f>""</f>
        <v/>
      </c>
      <c r="DC157" t="str">
        <f>""</f>
        <v/>
      </c>
      <c r="DD157" t="str">
        <f>""</f>
        <v/>
      </c>
      <c r="DE157" t="str">
        <f>""</f>
        <v/>
      </c>
      <c r="DF157" t="str">
        <f>""</f>
        <v/>
      </c>
      <c r="DG157" t="str">
        <f>""</f>
        <v/>
      </c>
      <c r="DH157" t="str">
        <f>""</f>
        <v/>
      </c>
      <c r="DI157" t="str">
        <f>""</f>
        <v/>
      </c>
      <c r="DJ157" t="str">
        <f>""</f>
        <v/>
      </c>
      <c r="DK157" t="str">
        <f>""</f>
        <v/>
      </c>
      <c r="DL157" t="str">
        <f>""</f>
        <v/>
      </c>
      <c r="DM157" t="str">
        <f>""</f>
        <v/>
      </c>
      <c r="DN157" t="str">
        <f>""</f>
        <v/>
      </c>
      <c r="DO157" t="str">
        <f>""</f>
        <v/>
      </c>
      <c r="DP157" t="str">
        <f>""</f>
        <v/>
      </c>
      <c r="DQ157" t="str">
        <f>""</f>
        <v/>
      </c>
      <c r="DR157" t="str">
        <f>""</f>
        <v/>
      </c>
      <c r="DS157" t="str">
        <f>""</f>
        <v/>
      </c>
      <c r="DT157" t="str">
        <f>""</f>
        <v/>
      </c>
      <c r="DU157" t="str">
        <f>""</f>
        <v/>
      </c>
    </row>
    <row r="158" spans="1:125" x14ac:dyDescent="0.25">
      <c r="A158" t="str">
        <f>$A$16</f>
        <v xml:space="preserve">                KeyCorp</v>
      </c>
      <c r="B158" t="str">
        <f>$B$16</f>
        <v>KEY US Equity</v>
      </c>
      <c r="C158" t="str">
        <f>$C$16</f>
        <v>FC470</v>
      </c>
      <c r="D158" t="str">
        <f>$D$16</f>
        <v>FDIC_SECS_HELD_TO_MTY_BOOK_VAL</v>
      </c>
      <c r="E158" t="str">
        <f>$E$16</f>
        <v>Dynamic</v>
      </c>
      <c r="F158">
        <f ca="1">_xll.BDH($B$16,$C$16,$B$143,$B$144,CONCATENATE("Per=",$B$141),"Dts=H","Dir=H",CONCATENATE("Points=",$B$142),"Sort=R","Days=A","Fill=B",CONCATENATE("FX=", $B$140),"cols=60;rows=1")</f>
        <v>7395.09</v>
      </c>
      <c r="G158">
        <v>7702.2749999999996</v>
      </c>
      <c r="H158">
        <v>7967.558</v>
      </c>
      <c r="I158">
        <v>8271.6219999999994</v>
      </c>
      <c r="J158">
        <v>8575.2510000000002</v>
      </c>
      <c r="K158">
        <v>8853.4429999999993</v>
      </c>
      <c r="L158">
        <v>9188.58</v>
      </c>
      <c r="M158">
        <v>9560.7839999999997</v>
      </c>
      <c r="N158">
        <v>8709.9150000000009</v>
      </c>
      <c r="O158">
        <v>8163.4549999999999</v>
      </c>
      <c r="P158">
        <v>8185.857</v>
      </c>
      <c r="Q158">
        <v>6871.116</v>
      </c>
      <c r="R158">
        <v>7539.4219999999996</v>
      </c>
      <c r="S158">
        <v>8423.009</v>
      </c>
      <c r="T158">
        <v>6174.7049999999999</v>
      </c>
      <c r="U158">
        <v>6857.3779999999997</v>
      </c>
      <c r="V158">
        <v>7595.3490000000002</v>
      </c>
      <c r="W158">
        <v>8384.2810000000009</v>
      </c>
      <c r="X158">
        <v>9075.4660000000003</v>
      </c>
      <c r="Y158">
        <v>9638.2060000000001</v>
      </c>
      <c r="Z158">
        <v>10067.222</v>
      </c>
      <c r="AA158">
        <v>10489.898999999999</v>
      </c>
      <c r="AB158">
        <v>10878.138999999999</v>
      </c>
      <c r="AC158">
        <v>11234.192999999999</v>
      </c>
      <c r="AD158">
        <v>11519.187</v>
      </c>
      <c r="AE158">
        <v>11869.79</v>
      </c>
      <c r="AF158">
        <v>12277.550999999999</v>
      </c>
      <c r="AG158">
        <v>12190.031000000001</v>
      </c>
      <c r="AH158">
        <v>11831.529</v>
      </c>
      <c r="AI158">
        <v>10276.668</v>
      </c>
      <c r="AJ158">
        <v>10638.865</v>
      </c>
      <c r="AK158">
        <v>10187.23</v>
      </c>
      <c r="AL158">
        <v>10232.642</v>
      </c>
      <c r="AM158">
        <v>8995.7070000000003</v>
      </c>
      <c r="AN158">
        <v>4832.6189999999997</v>
      </c>
      <c r="AO158">
        <v>5004.3980000000001</v>
      </c>
      <c r="AP158">
        <v>4898.0590000000002</v>
      </c>
      <c r="AQ158">
        <v>4936.9369999999999</v>
      </c>
      <c r="AR158">
        <v>5022.9530000000004</v>
      </c>
      <c r="AS158">
        <v>5005.7879999999996</v>
      </c>
      <c r="AT158">
        <v>5015.8680000000004</v>
      </c>
      <c r="AU158">
        <v>4998.1809999999996</v>
      </c>
      <c r="AV158">
        <v>5233.0640000000003</v>
      </c>
      <c r="AW158">
        <v>4825.8850000000002</v>
      </c>
      <c r="AX158">
        <v>4755.8190000000004</v>
      </c>
      <c r="AY158">
        <v>4835.1989999999996</v>
      </c>
      <c r="AZ158">
        <v>4749.9250000000002</v>
      </c>
      <c r="BA158">
        <v>3721.1559999999999</v>
      </c>
      <c r="BB158">
        <v>3930.6729999999998</v>
      </c>
      <c r="BC158">
        <v>4152.8429999999998</v>
      </c>
      <c r="BD158">
        <v>4352.2690000000002</v>
      </c>
      <c r="BE158">
        <v>3018.7350000000001</v>
      </c>
      <c r="BF158">
        <v>2109.2379999999998</v>
      </c>
      <c r="BG158">
        <v>1176.0820000000001</v>
      </c>
      <c r="BH158">
        <v>18.995999999999999</v>
      </c>
      <c r="BI158">
        <v>18.995999999999999</v>
      </c>
      <c r="BJ158">
        <v>17.074999999999999</v>
      </c>
      <c r="BK158">
        <v>18.385999999999999</v>
      </c>
      <c r="BL158">
        <v>18.815999999999999</v>
      </c>
      <c r="BM158">
        <v>22.135000000000002</v>
      </c>
      <c r="BN158" t="str">
        <f>""</f>
        <v/>
      </c>
      <c r="BO158" t="str">
        <f>""</f>
        <v/>
      </c>
      <c r="BP158" t="str">
        <f>""</f>
        <v/>
      </c>
      <c r="BQ158" t="str">
        <f>""</f>
        <v/>
      </c>
      <c r="BR158" t="str">
        <f>""</f>
        <v/>
      </c>
      <c r="BS158" t="str">
        <f>""</f>
        <v/>
      </c>
      <c r="BT158" t="str">
        <f>""</f>
        <v/>
      </c>
      <c r="BU158" t="str">
        <f>""</f>
        <v/>
      </c>
      <c r="BV158" t="str">
        <f>""</f>
        <v/>
      </c>
      <c r="BW158" t="str">
        <f>""</f>
        <v/>
      </c>
      <c r="BX158" t="str">
        <f>""</f>
        <v/>
      </c>
      <c r="BY158" t="str">
        <f>""</f>
        <v/>
      </c>
      <c r="BZ158" t="str">
        <f>""</f>
        <v/>
      </c>
      <c r="CA158" t="str">
        <f>""</f>
        <v/>
      </c>
      <c r="CB158" t="str">
        <f>""</f>
        <v/>
      </c>
      <c r="CC158" t="str">
        <f>""</f>
        <v/>
      </c>
      <c r="CD158" t="str">
        <f>""</f>
        <v/>
      </c>
      <c r="CE158" t="str">
        <f>""</f>
        <v/>
      </c>
      <c r="CF158" t="str">
        <f>""</f>
        <v/>
      </c>
      <c r="CG158" t="str">
        <f>""</f>
        <v/>
      </c>
      <c r="CH158" t="str">
        <f>""</f>
        <v/>
      </c>
      <c r="CI158" t="str">
        <f>""</f>
        <v/>
      </c>
      <c r="CJ158" t="str">
        <f>""</f>
        <v/>
      </c>
      <c r="CK158" t="str">
        <f>""</f>
        <v/>
      </c>
      <c r="CL158" t="str">
        <f>""</f>
        <v/>
      </c>
      <c r="CM158" t="str">
        <f>""</f>
        <v/>
      </c>
      <c r="CN158" t="str">
        <f>""</f>
        <v/>
      </c>
      <c r="CO158" t="str">
        <f>""</f>
        <v/>
      </c>
      <c r="CP158" t="str">
        <f>""</f>
        <v/>
      </c>
      <c r="CQ158" t="str">
        <f>""</f>
        <v/>
      </c>
      <c r="CR158" t="str">
        <f>""</f>
        <v/>
      </c>
      <c r="CS158" t="str">
        <f>""</f>
        <v/>
      </c>
      <c r="CT158" t="str">
        <f>""</f>
        <v/>
      </c>
      <c r="CU158" t="str">
        <f>""</f>
        <v/>
      </c>
      <c r="CV158" t="str">
        <f>""</f>
        <v/>
      </c>
      <c r="CW158" t="str">
        <f>""</f>
        <v/>
      </c>
      <c r="CX158" t="str">
        <f>""</f>
        <v/>
      </c>
      <c r="CY158" t="str">
        <f>""</f>
        <v/>
      </c>
      <c r="CZ158" t="str">
        <f>""</f>
        <v/>
      </c>
      <c r="DA158" t="str">
        <f>""</f>
        <v/>
      </c>
      <c r="DB158" t="str">
        <f>""</f>
        <v/>
      </c>
      <c r="DC158" t="str">
        <f>""</f>
        <v/>
      </c>
      <c r="DD158" t="str">
        <f>""</f>
        <v/>
      </c>
      <c r="DE158" t="str">
        <f>""</f>
        <v/>
      </c>
      <c r="DF158" t="str">
        <f>""</f>
        <v/>
      </c>
      <c r="DG158" t="str">
        <f>""</f>
        <v/>
      </c>
      <c r="DH158" t="str">
        <f>""</f>
        <v/>
      </c>
      <c r="DI158" t="str">
        <f>""</f>
        <v/>
      </c>
      <c r="DJ158" t="str">
        <f>""</f>
        <v/>
      </c>
      <c r="DK158" t="str">
        <f>""</f>
        <v/>
      </c>
      <c r="DL158" t="str">
        <f>""</f>
        <v/>
      </c>
      <c r="DM158" t="str">
        <f>""</f>
        <v/>
      </c>
      <c r="DN158" t="str">
        <f>""</f>
        <v/>
      </c>
      <c r="DO158" t="str">
        <f>""</f>
        <v/>
      </c>
      <c r="DP158" t="str">
        <f>""</f>
        <v/>
      </c>
      <c r="DQ158" t="str">
        <f>""</f>
        <v/>
      </c>
      <c r="DR158" t="str">
        <f>""</f>
        <v/>
      </c>
      <c r="DS158" t="str">
        <f>""</f>
        <v/>
      </c>
      <c r="DT158" t="str">
        <f>""</f>
        <v/>
      </c>
      <c r="DU158" t="str">
        <f>""</f>
        <v/>
      </c>
    </row>
    <row r="159" spans="1:125" x14ac:dyDescent="0.25">
      <c r="A159" t="str">
        <f>$A$17</f>
        <v xml:space="preserve">                M&amp;T Bank Corp</v>
      </c>
      <c r="B159" t="str">
        <f>$B$17</f>
        <v>MTB US Equity</v>
      </c>
      <c r="C159" t="str">
        <f>$C$17</f>
        <v>FC470</v>
      </c>
      <c r="D159" t="str">
        <f>$D$17</f>
        <v>FDIC_SECS_HELD_TO_MTY_BOOK_VAL</v>
      </c>
      <c r="E159" t="str">
        <f>$E$17</f>
        <v>Dynamic</v>
      </c>
      <c r="F159">
        <f ca="1">_xll.BDH($B$17,$C$17,$B$143,$B$144,CONCATENATE("Per=",$B$141),"Dts=H","Dir=H",CONCATENATE("Points=",$B$142),"Sort=R","Days=A","Fill=B",CONCATENATE("FX=", $B$140),"cols=60;rows=1")</f>
        <v>14197.498</v>
      </c>
      <c r="G159">
        <v>14505.436</v>
      </c>
      <c r="H159">
        <v>14795.119000000001</v>
      </c>
      <c r="I159">
        <v>15080.07</v>
      </c>
      <c r="J159">
        <v>15331.963</v>
      </c>
      <c r="K159">
        <v>15573.12</v>
      </c>
      <c r="L159">
        <v>15920.106</v>
      </c>
      <c r="M159">
        <v>16203.571</v>
      </c>
      <c r="N159">
        <v>13531.968999999999</v>
      </c>
      <c r="O159">
        <v>12900.861999999999</v>
      </c>
      <c r="P159">
        <v>13375.171</v>
      </c>
      <c r="Q159">
        <v>3180.6260000000002</v>
      </c>
      <c r="R159">
        <v>2734.674</v>
      </c>
      <c r="S159">
        <v>2359.7269999999999</v>
      </c>
      <c r="T159">
        <v>1718.1980000000001</v>
      </c>
      <c r="U159">
        <v>1778.135</v>
      </c>
      <c r="V159">
        <v>1748.989</v>
      </c>
      <c r="W159">
        <v>1938.694</v>
      </c>
      <c r="X159">
        <v>2158.982</v>
      </c>
      <c r="Y159">
        <v>2300.6419999999998</v>
      </c>
      <c r="Z159">
        <v>2656.9169999999999</v>
      </c>
      <c r="AA159">
        <v>3031.299</v>
      </c>
      <c r="AB159">
        <v>3604.2330000000002</v>
      </c>
      <c r="AC159">
        <v>3714.6990000000001</v>
      </c>
      <c r="AD159">
        <v>3316.64</v>
      </c>
      <c r="AE159">
        <v>3418.7190000000001</v>
      </c>
      <c r="AF159">
        <v>3101.0949999999998</v>
      </c>
      <c r="AG159">
        <v>3228.7559999999999</v>
      </c>
      <c r="AH159">
        <v>3353.2130000000002</v>
      </c>
      <c r="AI159">
        <v>3242.1239999999998</v>
      </c>
      <c r="AJ159">
        <v>3388.268</v>
      </c>
      <c r="AK159">
        <v>2876.1190000000001</v>
      </c>
      <c r="AL159">
        <v>2457.2779999999998</v>
      </c>
      <c r="AM159">
        <v>2409.9499999999998</v>
      </c>
      <c r="AN159">
        <v>2574.4209999999998</v>
      </c>
      <c r="AO159">
        <v>2730.6109999999999</v>
      </c>
      <c r="AP159">
        <v>2859.7089999999998</v>
      </c>
      <c r="AQ159">
        <v>2998.4859999999999</v>
      </c>
      <c r="AR159">
        <v>3164.585</v>
      </c>
      <c r="AS159">
        <v>3360.8119999999999</v>
      </c>
      <c r="AT159">
        <v>3507.8679999999999</v>
      </c>
      <c r="AU159">
        <v>3635.8150000000001</v>
      </c>
      <c r="AV159">
        <v>3760.665</v>
      </c>
      <c r="AW159">
        <v>3873.9850000000001</v>
      </c>
      <c r="AX159">
        <v>3966.13</v>
      </c>
      <c r="AY159">
        <v>3319.114</v>
      </c>
      <c r="AZ159">
        <v>1819.691</v>
      </c>
      <c r="BA159">
        <v>959.19899999999996</v>
      </c>
      <c r="BB159">
        <v>1032.2760000000001</v>
      </c>
      <c r="BC159">
        <v>1121.325</v>
      </c>
      <c r="BD159">
        <v>1188.4649999999999</v>
      </c>
      <c r="BE159">
        <v>1000.294</v>
      </c>
      <c r="BF159">
        <v>1077.7080000000001</v>
      </c>
      <c r="BG159">
        <v>1161.837</v>
      </c>
      <c r="BH159">
        <v>1219.6859999999999</v>
      </c>
      <c r="BI159">
        <v>1262.0889999999999</v>
      </c>
      <c r="BJ159">
        <v>1324.3389999999999</v>
      </c>
      <c r="BK159">
        <v>1425.7170000000001</v>
      </c>
      <c r="BL159">
        <v>1481.5409999999999</v>
      </c>
      <c r="BM159">
        <v>1509.8050000000001</v>
      </c>
      <c r="BN159" t="str">
        <f>""</f>
        <v/>
      </c>
      <c r="BO159" t="str">
        <f>""</f>
        <v/>
      </c>
      <c r="BP159" t="str">
        <f>""</f>
        <v/>
      </c>
      <c r="BQ159" t="str">
        <f>""</f>
        <v/>
      </c>
      <c r="BR159" t="str">
        <f>""</f>
        <v/>
      </c>
      <c r="BS159" t="str">
        <f>""</f>
        <v/>
      </c>
      <c r="BT159" t="str">
        <f>""</f>
        <v/>
      </c>
      <c r="BU159" t="str">
        <f>""</f>
        <v/>
      </c>
      <c r="BV159" t="str">
        <f>""</f>
        <v/>
      </c>
      <c r="BW159" t="str">
        <f>""</f>
        <v/>
      </c>
      <c r="BX159" t="str">
        <f>""</f>
        <v/>
      </c>
      <c r="BY159" t="str">
        <f>""</f>
        <v/>
      </c>
      <c r="BZ159" t="str">
        <f>""</f>
        <v/>
      </c>
      <c r="CA159" t="str">
        <f>""</f>
        <v/>
      </c>
      <c r="CB159" t="str">
        <f>""</f>
        <v/>
      </c>
      <c r="CC159" t="str">
        <f>""</f>
        <v/>
      </c>
      <c r="CD159" t="str">
        <f>""</f>
        <v/>
      </c>
      <c r="CE159" t="str">
        <f>""</f>
        <v/>
      </c>
      <c r="CF159" t="str">
        <f>""</f>
        <v/>
      </c>
      <c r="CG159" t="str">
        <f>""</f>
        <v/>
      </c>
      <c r="CH159" t="str">
        <f>""</f>
        <v/>
      </c>
      <c r="CI159" t="str">
        <f>""</f>
        <v/>
      </c>
      <c r="CJ159" t="str">
        <f>""</f>
        <v/>
      </c>
      <c r="CK159" t="str">
        <f>""</f>
        <v/>
      </c>
      <c r="CL159" t="str">
        <f>""</f>
        <v/>
      </c>
      <c r="CM159" t="str">
        <f>""</f>
        <v/>
      </c>
      <c r="CN159" t="str">
        <f>""</f>
        <v/>
      </c>
      <c r="CO159" t="str">
        <f>""</f>
        <v/>
      </c>
      <c r="CP159" t="str">
        <f>""</f>
        <v/>
      </c>
      <c r="CQ159" t="str">
        <f>""</f>
        <v/>
      </c>
      <c r="CR159" t="str">
        <f>""</f>
        <v/>
      </c>
      <c r="CS159" t="str">
        <f>""</f>
        <v/>
      </c>
      <c r="CT159" t="str">
        <f>""</f>
        <v/>
      </c>
      <c r="CU159" t="str">
        <f>""</f>
        <v/>
      </c>
      <c r="CV159" t="str">
        <f>""</f>
        <v/>
      </c>
      <c r="CW159" t="str">
        <f>""</f>
        <v/>
      </c>
      <c r="CX159" t="str">
        <f>""</f>
        <v/>
      </c>
      <c r="CY159" t="str">
        <f>""</f>
        <v/>
      </c>
      <c r="CZ159" t="str">
        <f>""</f>
        <v/>
      </c>
      <c r="DA159" t="str">
        <f>""</f>
        <v/>
      </c>
      <c r="DB159" t="str">
        <f>""</f>
        <v/>
      </c>
      <c r="DC159" t="str">
        <f>""</f>
        <v/>
      </c>
      <c r="DD159" t="str">
        <f>""</f>
        <v/>
      </c>
      <c r="DE159" t="str">
        <f>""</f>
        <v/>
      </c>
      <c r="DF159" t="str">
        <f>""</f>
        <v/>
      </c>
      <c r="DG159" t="str">
        <f>""</f>
        <v/>
      </c>
      <c r="DH159" t="str">
        <f>""</f>
        <v/>
      </c>
      <c r="DI159" t="str">
        <f>""</f>
        <v/>
      </c>
      <c r="DJ159" t="str">
        <f>""</f>
        <v/>
      </c>
      <c r="DK159" t="str">
        <f>""</f>
        <v/>
      </c>
      <c r="DL159" t="str">
        <f>""</f>
        <v/>
      </c>
      <c r="DM159" t="str">
        <f>""</f>
        <v/>
      </c>
      <c r="DN159" t="str">
        <f>""</f>
        <v/>
      </c>
      <c r="DO159" t="str">
        <f>""</f>
        <v/>
      </c>
      <c r="DP159" t="str">
        <f>""</f>
        <v/>
      </c>
      <c r="DQ159" t="str">
        <f>""</f>
        <v/>
      </c>
      <c r="DR159" t="str">
        <f>""</f>
        <v/>
      </c>
      <c r="DS159" t="str">
        <f>""</f>
        <v/>
      </c>
      <c r="DT159" t="str">
        <f>""</f>
        <v/>
      </c>
      <c r="DU159" t="str">
        <f>""</f>
        <v/>
      </c>
    </row>
    <row r="160" spans="1:125" x14ac:dyDescent="0.25">
      <c r="A160" t="str">
        <f>$A$18</f>
        <v xml:space="preserve">                PNC Financial Services Group I</v>
      </c>
      <c r="B160" t="str">
        <f>$B$18</f>
        <v>PNC US Equity</v>
      </c>
      <c r="C160" t="str">
        <f>$C$18</f>
        <v>FC470</v>
      </c>
      <c r="D160" t="str">
        <f>$D$18</f>
        <v>FDIC_SECS_HELD_TO_MTY_BOOK_VAL</v>
      </c>
      <c r="E160" t="str">
        <f>$E$18</f>
        <v>Dynamic</v>
      </c>
      <c r="F160">
        <f ca="1">_xll.BDH($B$18,$C$18,$B$143,$B$144,CONCATENATE("Per=",$B$141),"Dts=H","Dir=H",CONCATENATE("Points=",$B$142),"Sort=R","Days=A","Fill=B",CONCATENATE("FX=", $B$140),"cols=60;rows=1")</f>
        <v>77698.019</v>
      </c>
      <c r="G160">
        <v>83850.153000000006</v>
      </c>
      <c r="H160">
        <v>87461.873000000007</v>
      </c>
      <c r="I160">
        <v>88184.75</v>
      </c>
      <c r="J160">
        <v>90789.845000000001</v>
      </c>
      <c r="K160">
        <v>91803.187000000005</v>
      </c>
      <c r="L160">
        <v>93879.448000000004</v>
      </c>
      <c r="M160">
        <v>95025.202999999994</v>
      </c>
      <c r="N160">
        <v>95182.766000000003</v>
      </c>
      <c r="O160">
        <v>90659.995999999999</v>
      </c>
      <c r="P160">
        <v>79752.633000000002</v>
      </c>
      <c r="Q160">
        <v>20101.071</v>
      </c>
      <c r="R160">
        <v>1429.364</v>
      </c>
      <c r="S160">
        <v>1482.1780000000001</v>
      </c>
      <c r="T160">
        <v>1488.635</v>
      </c>
      <c r="U160">
        <v>1459.211</v>
      </c>
      <c r="V160">
        <v>1444.7080000000001</v>
      </c>
      <c r="W160">
        <v>1441.5930000000001</v>
      </c>
      <c r="X160">
        <v>1443.2380000000001</v>
      </c>
      <c r="Y160">
        <v>1470.212</v>
      </c>
      <c r="Z160">
        <v>17660.919999999998</v>
      </c>
      <c r="AA160">
        <v>18826.030999999999</v>
      </c>
      <c r="AB160">
        <v>18948.210999999999</v>
      </c>
      <c r="AC160">
        <v>18817.686000000002</v>
      </c>
      <c r="AD160">
        <v>19312.402999999998</v>
      </c>
      <c r="AE160">
        <v>19593.225999999999</v>
      </c>
      <c r="AF160">
        <v>19850.013999999999</v>
      </c>
      <c r="AG160">
        <v>18543.986000000001</v>
      </c>
      <c r="AH160">
        <v>18513.631000000001</v>
      </c>
      <c r="AI160">
        <v>17740.485000000001</v>
      </c>
      <c r="AJ160">
        <v>17552.57</v>
      </c>
      <c r="AK160">
        <v>17092.489000000001</v>
      </c>
      <c r="AL160">
        <v>15843.073</v>
      </c>
      <c r="AM160">
        <v>16573.081999999999</v>
      </c>
      <c r="AN160">
        <v>14917.199000000001</v>
      </c>
      <c r="AO160">
        <v>15154.11</v>
      </c>
      <c r="AP160">
        <v>14768.321</v>
      </c>
      <c r="AQ160">
        <v>14403.12</v>
      </c>
      <c r="AR160">
        <v>13682.545</v>
      </c>
      <c r="AS160">
        <v>13188.308999999999</v>
      </c>
      <c r="AT160">
        <v>11588.146000000001</v>
      </c>
      <c r="AU160">
        <v>11418.699000000001</v>
      </c>
      <c r="AV160">
        <v>12083.483</v>
      </c>
      <c r="AW160">
        <v>11160.791999999999</v>
      </c>
      <c r="AX160">
        <v>11686.509</v>
      </c>
      <c r="AY160">
        <v>11498.491</v>
      </c>
      <c r="AZ160">
        <v>9550.1710000000003</v>
      </c>
      <c r="BA160">
        <v>9824.6080000000002</v>
      </c>
      <c r="BB160">
        <v>10353.817999999999</v>
      </c>
      <c r="BC160">
        <v>10681.127</v>
      </c>
      <c r="BD160">
        <v>10685.644</v>
      </c>
      <c r="BE160">
        <v>11196.415000000001</v>
      </c>
      <c r="BF160">
        <v>12065.743</v>
      </c>
      <c r="BG160">
        <v>12389.945</v>
      </c>
      <c r="BH160">
        <v>9746.9490000000005</v>
      </c>
      <c r="BI160">
        <v>6465.58</v>
      </c>
      <c r="BJ160">
        <v>6951.4610000000002</v>
      </c>
      <c r="BK160">
        <v>7410.8069999999998</v>
      </c>
      <c r="BL160">
        <v>7867.3950000000004</v>
      </c>
      <c r="BM160">
        <v>8064.8990000000003</v>
      </c>
      <c r="BN160" t="str">
        <f>""</f>
        <v/>
      </c>
      <c r="BO160" t="str">
        <f>""</f>
        <v/>
      </c>
      <c r="BP160" t="str">
        <f>""</f>
        <v/>
      </c>
      <c r="BQ160" t="str">
        <f>""</f>
        <v/>
      </c>
      <c r="BR160" t="str">
        <f>""</f>
        <v/>
      </c>
      <c r="BS160" t="str">
        <f>""</f>
        <v/>
      </c>
      <c r="BT160" t="str">
        <f>""</f>
        <v/>
      </c>
      <c r="BU160" t="str">
        <f>""</f>
        <v/>
      </c>
      <c r="BV160" t="str">
        <f>""</f>
        <v/>
      </c>
      <c r="BW160" t="str">
        <f>""</f>
        <v/>
      </c>
      <c r="BX160" t="str">
        <f>""</f>
        <v/>
      </c>
      <c r="BY160" t="str">
        <f>""</f>
        <v/>
      </c>
      <c r="BZ160" t="str">
        <f>""</f>
        <v/>
      </c>
      <c r="CA160" t="str">
        <f>""</f>
        <v/>
      </c>
      <c r="CB160" t="str">
        <f>""</f>
        <v/>
      </c>
      <c r="CC160" t="str">
        <f>""</f>
        <v/>
      </c>
      <c r="CD160" t="str">
        <f>""</f>
        <v/>
      </c>
      <c r="CE160" t="str">
        <f>""</f>
        <v/>
      </c>
      <c r="CF160" t="str">
        <f>""</f>
        <v/>
      </c>
      <c r="CG160" t="str">
        <f>""</f>
        <v/>
      </c>
      <c r="CH160" t="str">
        <f>""</f>
        <v/>
      </c>
      <c r="CI160" t="str">
        <f>""</f>
        <v/>
      </c>
      <c r="CJ160" t="str">
        <f>""</f>
        <v/>
      </c>
      <c r="CK160" t="str">
        <f>""</f>
        <v/>
      </c>
      <c r="CL160" t="str">
        <f>""</f>
        <v/>
      </c>
      <c r="CM160" t="str">
        <f>""</f>
        <v/>
      </c>
      <c r="CN160" t="str">
        <f>""</f>
        <v/>
      </c>
      <c r="CO160" t="str">
        <f>""</f>
        <v/>
      </c>
      <c r="CP160" t="str">
        <f>""</f>
        <v/>
      </c>
      <c r="CQ160" t="str">
        <f>""</f>
        <v/>
      </c>
      <c r="CR160" t="str">
        <f>""</f>
        <v/>
      </c>
      <c r="CS160" t="str">
        <f>""</f>
        <v/>
      </c>
      <c r="CT160" t="str">
        <f>""</f>
        <v/>
      </c>
      <c r="CU160" t="str">
        <f>""</f>
        <v/>
      </c>
      <c r="CV160" t="str">
        <f>""</f>
        <v/>
      </c>
      <c r="CW160" t="str">
        <f>""</f>
        <v/>
      </c>
      <c r="CX160" t="str">
        <f>""</f>
        <v/>
      </c>
      <c r="CY160" t="str">
        <f>""</f>
        <v/>
      </c>
      <c r="CZ160" t="str">
        <f>""</f>
        <v/>
      </c>
      <c r="DA160" t="str">
        <f>""</f>
        <v/>
      </c>
      <c r="DB160" t="str">
        <f>""</f>
        <v/>
      </c>
      <c r="DC160" t="str">
        <f>""</f>
        <v/>
      </c>
      <c r="DD160" t="str">
        <f>""</f>
        <v/>
      </c>
      <c r="DE160" t="str">
        <f>""</f>
        <v/>
      </c>
      <c r="DF160" t="str">
        <f>""</f>
        <v/>
      </c>
      <c r="DG160" t="str">
        <f>""</f>
        <v/>
      </c>
      <c r="DH160" t="str">
        <f>""</f>
        <v/>
      </c>
      <c r="DI160" t="str">
        <f>""</f>
        <v/>
      </c>
      <c r="DJ160" t="str">
        <f>""</f>
        <v/>
      </c>
      <c r="DK160" t="str">
        <f>""</f>
        <v/>
      </c>
      <c r="DL160" t="str">
        <f>""</f>
        <v/>
      </c>
      <c r="DM160" t="str">
        <f>""</f>
        <v/>
      </c>
      <c r="DN160" t="str">
        <f>""</f>
        <v/>
      </c>
      <c r="DO160" t="str">
        <f>""</f>
        <v/>
      </c>
      <c r="DP160" t="str">
        <f>""</f>
        <v/>
      </c>
      <c r="DQ160" t="str">
        <f>""</f>
        <v/>
      </c>
      <c r="DR160" t="str">
        <f>""</f>
        <v/>
      </c>
      <c r="DS160" t="str">
        <f>""</f>
        <v/>
      </c>
      <c r="DT160" t="str">
        <f>""</f>
        <v/>
      </c>
      <c r="DU160" t="str">
        <f>""</f>
        <v/>
      </c>
    </row>
    <row r="161" spans="1:125" x14ac:dyDescent="0.25">
      <c r="A161" t="str">
        <f>$A$19</f>
        <v xml:space="preserve">                Regions Financial Corp</v>
      </c>
      <c r="B161" t="str">
        <f>$B$19</f>
        <v>RF US Equity</v>
      </c>
      <c r="C161" t="str">
        <f>$C$19</f>
        <v>FC470</v>
      </c>
      <c r="D161" t="str">
        <f>$D$19</f>
        <v>FDIC_SECS_HELD_TO_MTY_BOOK_VAL</v>
      </c>
      <c r="E161" t="str">
        <f>$E$19</f>
        <v>Dynamic</v>
      </c>
      <c r="F161">
        <f ca="1">_xll.BDH($B$19,$C$19,$B$143,$B$144,CONCATENATE("Per=",$B$141),"Dts=H","Dir=H",CONCATENATE("Points=",$B$142),"Sort=R","Days=A","Fill=B",CONCATENATE("FX=", $B$140),"cols=60;rows=1")</f>
        <v>4427</v>
      </c>
      <c r="G161">
        <v>2787</v>
      </c>
      <c r="H161">
        <v>733</v>
      </c>
      <c r="I161">
        <v>743</v>
      </c>
      <c r="J161">
        <v>754</v>
      </c>
      <c r="K161">
        <v>763</v>
      </c>
      <c r="L161">
        <v>777</v>
      </c>
      <c r="M161">
        <v>790</v>
      </c>
      <c r="N161">
        <v>801</v>
      </c>
      <c r="O161">
        <v>817</v>
      </c>
      <c r="P161">
        <v>836</v>
      </c>
      <c r="Q161">
        <v>864</v>
      </c>
      <c r="R161">
        <v>899</v>
      </c>
      <c r="S161">
        <v>945</v>
      </c>
      <c r="T161">
        <v>993</v>
      </c>
      <c r="U161">
        <v>1059</v>
      </c>
      <c r="V161">
        <v>1122</v>
      </c>
      <c r="W161">
        <v>1190</v>
      </c>
      <c r="X161">
        <v>1255</v>
      </c>
      <c r="Y161">
        <v>1296</v>
      </c>
      <c r="Z161">
        <v>1332</v>
      </c>
      <c r="AA161">
        <v>1375</v>
      </c>
      <c r="AB161">
        <v>1415</v>
      </c>
      <c r="AC161">
        <v>1451</v>
      </c>
      <c r="AD161">
        <v>1481.5329999999999</v>
      </c>
      <c r="AE161">
        <v>1523.72</v>
      </c>
      <c r="AF161">
        <v>1567.8530000000001</v>
      </c>
      <c r="AG161">
        <v>1611.241</v>
      </c>
      <c r="AH161">
        <v>1657.961</v>
      </c>
      <c r="AI161">
        <v>1702.751</v>
      </c>
      <c r="AJ161">
        <v>1754.278</v>
      </c>
      <c r="AK161">
        <v>1777.5340000000001</v>
      </c>
      <c r="AL161">
        <v>1362.3130000000001</v>
      </c>
      <c r="AM161">
        <v>1431.298</v>
      </c>
      <c r="AN161">
        <v>1646.0160000000001</v>
      </c>
      <c r="AO161">
        <v>1900.5889999999999</v>
      </c>
      <c r="AP161">
        <v>1945.8820000000001</v>
      </c>
      <c r="AQ161">
        <v>2000.482</v>
      </c>
      <c r="AR161">
        <v>2066.7809999999999</v>
      </c>
      <c r="AS161">
        <v>2128.855</v>
      </c>
      <c r="AT161">
        <v>2174.5790000000002</v>
      </c>
      <c r="AU161">
        <v>2222.19</v>
      </c>
      <c r="AV161">
        <v>2274.5219999999999</v>
      </c>
      <c r="AW161">
        <v>2317.1210000000001</v>
      </c>
      <c r="AX161">
        <v>2352.9580000000001</v>
      </c>
      <c r="AY161">
        <v>2387.9119999999998</v>
      </c>
      <c r="AZ161">
        <v>2425.2719999999999</v>
      </c>
      <c r="BA161">
        <v>8.3719999999999999</v>
      </c>
      <c r="BB161">
        <v>10.333</v>
      </c>
      <c r="BC161">
        <v>11.837999999999999</v>
      </c>
      <c r="BD161">
        <v>13.478999999999999</v>
      </c>
      <c r="BE161">
        <v>15.084</v>
      </c>
      <c r="BF161">
        <v>15.760999999999999</v>
      </c>
      <c r="BG161">
        <v>17.568999999999999</v>
      </c>
      <c r="BH161">
        <v>20.454000000000001</v>
      </c>
      <c r="BI161">
        <v>21.9</v>
      </c>
      <c r="BJ161">
        <v>24.448</v>
      </c>
      <c r="BK161">
        <v>26.288</v>
      </c>
      <c r="BL161">
        <v>27.861999999999998</v>
      </c>
      <c r="BM161">
        <v>29.536999999999999</v>
      </c>
      <c r="BN161" t="str">
        <f>""</f>
        <v/>
      </c>
      <c r="BO161" t="str">
        <f>""</f>
        <v/>
      </c>
      <c r="BP161" t="str">
        <f>""</f>
        <v/>
      </c>
      <c r="BQ161" t="str">
        <f>""</f>
        <v/>
      </c>
      <c r="BR161" t="str">
        <f>""</f>
        <v/>
      </c>
      <c r="BS161" t="str">
        <f>""</f>
        <v/>
      </c>
      <c r="BT161" t="str">
        <f>""</f>
        <v/>
      </c>
      <c r="BU161" t="str">
        <f>""</f>
        <v/>
      </c>
      <c r="BV161" t="str">
        <f>""</f>
        <v/>
      </c>
      <c r="BW161" t="str">
        <f>""</f>
        <v/>
      </c>
      <c r="BX161" t="str">
        <f>""</f>
        <v/>
      </c>
      <c r="BY161" t="str">
        <f>""</f>
        <v/>
      </c>
      <c r="BZ161" t="str">
        <f>""</f>
        <v/>
      </c>
      <c r="CA161" t="str">
        <f>""</f>
        <v/>
      </c>
      <c r="CB161" t="str">
        <f>""</f>
        <v/>
      </c>
      <c r="CC161" t="str">
        <f>""</f>
        <v/>
      </c>
      <c r="CD161" t="str">
        <f>""</f>
        <v/>
      </c>
      <c r="CE161" t="str">
        <f>""</f>
        <v/>
      </c>
      <c r="CF161" t="str">
        <f>""</f>
        <v/>
      </c>
      <c r="CG161" t="str">
        <f>""</f>
        <v/>
      </c>
      <c r="CH161" t="str">
        <f>""</f>
        <v/>
      </c>
      <c r="CI161" t="str">
        <f>""</f>
        <v/>
      </c>
      <c r="CJ161" t="str">
        <f>""</f>
        <v/>
      </c>
      <c r="CK161" t="str">
        <f>""</f>
        <v/>
      </c>
      <c r="CL161" t="str">
        <f>""</f>
        <v/>
      </c>
      <c r="CM161" t="str">
        <f>""</f>
        <v/>
      </c>
      <c r="CN161" t="str">
        <f>""</f>
        <v/>
      </c>
      <c r="CO161" t="str">
        <f>""</f>
        <v/>
      </c>
      <c r="CP161" t="str">
        <f>""</f>
        <v/>
      </c>
      <c r="CQ161" t="str">
        <f>""</f>
        <v/>
      </c>
      <c r="CR161" t="str">
        <f>""</f>
        <v/>
      </c>
      <c r="CS161" t="str">
        <f>""</f>
        <v/>
      </c>
      <c r="CT161" t="str">
        <f>""</f>
        <v/>
      </c>
      <c r="CU161" t="str">
        <f>""</f>
        <v/>
      </c>
      <c r="CV161" t="str">
        <f>""</f>
        <v/>
      </c>
      <c r="CW161" t="str">
        <f>""</f>
        <v/>
      </c>
      <c r="CX161" t="str">
        <f>""</f>
        <v/>
      </c>
      <c r="CY161" t="str">
        <f>""</f>
        <v/>
      </c>
      <c r="CZ161" t="str">
        <f>""</f>
        <v/>
      </c>
      <c r="DA161" t="str">
        <f>""</f>
        <v/>
      </c>
      <c r="DB161" t="str">
        <f>""</f>
        <v/>
      </c>
      <c r="DC161" t="str">
        <f>""</f>
        <v/>
      </c>
      <c r="DD161" t="str">
        <f>""</f>
        <v/>
      </c>
      <c r="DE161" t="str">
        <f>""</f>
        <v/>
      </c>
      <c r="DF161" t="str">
        <f>""</f>
        <v/>
      </c>
      <c r="DG161" t="str">
        <f>""</f>
        <v/>
      </c>
      <c r="DH161" t="str">
        <f>""</f>
        <v/>
      </c>
      <c r="DI161" t="str">
        <f>""</f>
        <v/>
      </c>
      <c r="DJ161" t="str">
        <f>""</f>
        <v/>
      </c>
      <c r="DK161" t="str">
        <f>""</f>
        <v/>
      </c>
      <c r="DL161" t="str">
        <f>""</f>
        <v/>
      </c>
      <c r="DM161" t="str">
        <f>""</f>
        <v/>
      </c>
      <c r="DN161" t="str">
        <f>""</f>
        <v/>
      </c>
      <c r="DO161" t="str">
        <f>""</f>
        <v/>
      </c>
      <c r="DP161" t="str">
        <f>""</f>
        <v/>
      </c>
      <c r="DQ161" t="str">
        <f>""</f>
        <v/>
      </c>
      <c r="DR161" t="str">
        <f>""</f>
        <v/>
      </c>
      <c r="DS161" t="str">
        <f>""</f>
        <v/>
      </c>
      <c r="DT161" t="str">
        <f>""</f>
        <v/>
      </c>
      <c r="DU161" t="str">
        <f>""</f>
        <v/>
      </c>
    </row>
    <row r="162" spans="1:125" x14ac:dyDescent="0.25">
      <c r="A162" t="str">
        <f>$A$20</f>
        <v xml:space="preserve">                Truist Financial Corp</v>
      </c>
      <c r="B162" t="str">
        <f>$B$20</f>
        <v>TFC US Equity</v>
      </c>
      <c r="C162" t="str">
        <f>$C$20</f>
        <v>FC470</v>
      </c>
      <c r="D162" t="str">
        <f>$D$20</f>
        <v>FDIC_SECS_HELD_TO_MTY_BOOK_VAL</v>
      </c>
      <c r="E162" t="str">
        <f>$E$20</f>
        <v>Dynamic</v>
      </c>
      <c r="F162">
        <f ca="1">_xll.BDH($B$20,$C$20,$B$143,$B$144,CONCATENATE("Per=",$B$141),"Dts=H","Dir=H",CONCATENATE("Points=",$B$142),"Sort=R","Days=A","Fill=B",CONCATENATE("FX=", $B$140),"cols=60;rows=1")</f>
        <v>50640</v>
      </c>
      <c r="G162">
        <v>51495</v>
      </c>
      <c r="H162">
        <v>52447</v>
      </c>
      <c r="I162">
        <v>53369</v>
      </c>
      <c r="J162">
        <v>54107</v>
      </c>
      <c r="K162">
        <v>54942</v>
      </c>
      <c r="L162">
        <v>55958</v>
      </c>
      <c r="M162">
        <v>56932</v>
      </c>
      <c r="N162">
        <v>57713</v>
      </c>
      <c r="O162">
        <v>58754</v>
      </c>
      <c r="P162">
        <v>60081</v>
      </c>
      <c r="Q162">
        <v>61662</v>
      </c>
      <c r="R162">
        <v>1494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18768</v>
      </c>
      <c r="AB162">
        <v>19487</v>
      </c>
      <c r="AC162">
        <v>20095</v>
      </c>
      <c r="AD162">
        <v>20552</v>
      </c>
      <c r="AE162">
        <v>21082</v>
      </c>
      <c r="AF162">
        <v>21749</v>
      </c>
      <c r="AG162">
        <v>22390</v>
      </c>
      <c r="AH162">
        <v>23027</v>
      </c>
      <c r="AI162">
        <v>23447</v>
      </c>
      <c r="AJ162">
        <v>18384</v>
      </c>
      <c r="AK162">
        <v>18209.5</v>
      </c>
      <c r="AL162">
        <v>16679.595000000001</v>
      </c>
      <c r="AM162">
        <v>17749.830999999998</v>
      </c>
      <c r="AN162">
        <v>18761.692999999999</v>
      </c>
      <c r="AO162">
        <v>19350.903999999999</v>
      </c>
      <c r="AP162">
        <v>18529.738000000001</v>
      </c>
      <c r="AQ162">
        <v>19244.716</v>
      </c>
      <c r="AR162">
        <v>19436.981</v>
      </c>
      <c r="AS162">
        <v>20414.718000000001</v>
      </c>
      <c r="AT162">
        <v>20240.143</v>
      </c>
      <c r="AU162">
        <v>20717.439999999999</v>
      </c>
      <c r="AV162">
        <v>20432.314999999999</v>
      </c>
      <c r="AW162">
        <v>20812.093000000001</v>
      </c>
      <c r="AX162">
        <v>18100.495999999999</v>
      </c>
      <c r="AY162">
        <v>13529.209000000001</v>
      </c>
      <c r="AZ162">
        <v>13750.557000000001</v>
      </c>
      <c r="BA162">
        <v>13118.647999999999</v>
      </c>
      <c r="BB162">
        <v>13594.239</v>
      </c>
      <c r="BC162">
        <v>13139.575000000001</v>
      </c>
      <c r="BD162">
        <v>12576.239</v>
      </c>
      <c r="BE162">
        <v>13484.81</v>
      </c>
      <c r="BF162">
        <v>14093.571</v>
      </c>
      <c r="BG162">
        <v>8135.4520000000002</v>
      </c>
      <c r="BH162">
        <v>8552.8230000000003</v>
      </c>
      <c r="BI162">
        <v>8332.5640000000003</v>
      </c>
      <c r="BJ162">
        <v>0</v>
      </c>
      <c r="BK162">
        <v>0</v>
      </c>
      <c r="BL162">
        <v>0</v>
      </c>
      <c r="BM162">
        <v>0</v>
      </c>
      <c r="BN162" t="str">
        <f>""</f>
        <v/>
      </c>
      <c r="BO162" t="str">
        <f>""</f>
        <v/>
      </c>
      <c r="BP162" t="str">
        <f>""</f>
        <v/>
      </c>
      <c r="BQ162" t="str">
        <f>""</f>
        <v/>
      </c>
      <c r="BR162" t="str">
        <f>""</f>
        <v/>
      </c>
      <c r="BS162" t="str">
        <f>""</f>
        <v/>
      </c>
      <c r="BT162" t="str">
        <f>""</f>
        <v/>
      </c>
      <c r="BU162" t="str">
        <f>""</f>
        <v/>
      </c>
      <c r="BV162" t="str">
        <f>""</f>
        <v/>
      </c>
      <c r="BW162" t="str">
        <f>""</f>
        <v/>
      </c>
      <c r="BX162" t="str">
        <f>""</f>
        <v/>
      </c>
      <c r="BY162" t="str">
        <f>""</f>
        <v/>
      </c>
      <c r="BZ162" t="str">
        <f>""</f>
        <v/>
      </c>
      <c r="CA162" t="str">
        <f>""</f>
        <v/>
      </c>
      <c r="CB162" t="str">
        <f>""</f>
        <v/>
      </c>
      <c r="CC162" t="str">
        <f>""</f>
        <v/>
      </c>
      <c r="CD162" t="str">
        <f>""</f>
        <v/>
      </c>
      <c r="CE162" t="str">
        <f>""</f>
        <v/>
      </c>
      <c r="CF162" t="str">
        <f>""</f>
        <v/>
      </c>
      <c r="CG162" t="str">
        <f>""</f>
        <v/>
      </c>
      <c r="CH162" t="str">
        <f>""</f>
        <v/>
      </c>
      <c r="CI162" t="str">
        <f>""</f>
        <v/>
      </c>
      <c r="CJ162" t="str">
        <f>""</f>
        <v/>
      </c>
      <c r="CK162" t="str">
        <f>""</f>
        <v/>
      </c>
      <c r="CL162" t="str">
        <f>""</f>
        <v/>
      </c>
      <c r="CM162" t="str">
        <f>""</f>
        <v/>
      </c>
      <c r="CN162" t="str">
        <f>""</f>
        <v/>
      </c>
      <c r="CO162" t="str">
        <f>""</f>
        <v/>
      </c>
      <c r="CP162" t="str">
        <f>""</f>
        <v/>
      </c>
      <c r="CQ162" t="str">
        <f>""</f>
        <v/>
      </c>
      <c r="CR162" t="str">
        <f>""</f>
        <v/>
      </c>
      <c r="CS162" t="str">
        <f>""</f>
        <v/>
      </c>
      <c r="CT162" t="str">
        <f>""</f>
        <v/>
      </c>
      <c r="CU162" t="str">
        <f>""</f>
        <v/>
      </c>
      <c r="CV162" t="str">
        <f>""</f>
        <v/>
      </c>
      <c r="CW162" t="str">
        <f>""</f>
        <v/>
      </c>
      <c r="CX162" t="str">
        <f>""</f>
        <v/>
      </c>
      <c r="CY162" t="str">
        <f>""</f>
        <v/>
      </c>
      <c r="CZ162" t="str">
        <f>""</f>
        <v/>
      </c>
      <c r="DA162" t="str">
        <f>""</f>
        <v/>
      </c>
      <c r="DB162" t="str">
        <f>""</f>
        <v/>
      </c>
      <c r="DC162" t="str">
        <f>""</f>
        <v/>
      </c>
      <c r="DD162" t="str">
        <f>""</f>
        <v/>
      </c>
      <c r="DE162" t="str">
        <f>""</f>
        <v/>
      </c>
      <c r="DF162" t="str">
        <f>""</f>
        <v/>
      </c>
      <c r="DG162" t="str">
        <f>""</f>
        <v/>
      </c>
      <c r="DH162" t="str">
        <f>""</f>
        <v/>
      </c>
      <c r="DI162" t="str">
        <f>""</f>
        <v/>
      </c>
      <c r="DJ162" t="str">
        <f>""</f>
        <v/>
      </c>
      <c r="DK162" t="str">
        <f>""</f>
        <v/>
      </c>
      <c r="DL162" t="str">
        <f>""</f>
        <v/>
      </c>
      <c r="DM162" t="str">
        <f>""</f>
        <v/>
      </c>
      <c r="DN162" t="str">
        <f>""</f>
        <v/>
      </c>
      <c r="DO162" t="str">
        <f>""</f>
        <v/>
      </c>
      <c r="DP162" t="str">
        <f>""</f>
        <v/>
      </c>
      <c r="DQ162" t="str">
        <f>""</f>
        <v/>
      </c>
      <c r="DR162" t="str">
        <f>""</f>
        <v/>
      </c>
      <c r="DS162" t="str">
        <f>""</f>
        <v/>
      </c>
      <c r="DT162" t="str">
        <f>""</f>
        <v/>
      </c>
      <c r="DU162" t="str">
        <f>""</f>
        <v/>
      </c>
    </row>
    <row r="163" spans="1:125" x14ac:dyDescent="0.25">
      <c r="A163" t="str">
        <f>$A$21</f>
        <v xml:space="preserve">                US Bancorp</v>
      </c>
      <c r="B163" t="str">
        <f>$B$21</f>
        <v>USB US Equity</v>
      </c>
      <c r="C163" t="str">
        <f>$C$21</f>
        <v>FC470</v>
      </c>
      <c r="D163" t="str">
        <f>$D$21</f>
        <v>FDIC_SECS_HELD_TO_MTY_BOOK_VAL</v>
      </c>
      <c r="E163" t="str">
        <f>$E$21</f>
        <v>Dynamic</v>
      </c>
      <c r="F163">
        <f ca="1">_xll.BDH($B$21,$C$21,$B$143,$B$144,CONCATENATE("Per=",$B$141),"Dts=H","Dir=H",CONCATENATE("Points=",$B$142),"Sort=R","Days=A","Fill=B",CONCATENATE("FX=", $B$140),"cols=60;rows=1")</f>
        <v>78634</v>
      </c>
      <c r="G163">
        <v>80025</v>
      </c>
      <c r="H163">
        <v>81486</v>
      </c>
      <c r="I163">
        <v>82948</v>
      </c>
      <c r="J163">
        <v>84045</v>
      </c>
      <c r="K163">
        <v>85342</v>
      </c>
      <c r="L163">
        <v>86938</v>
      </c>
      <c r="M163">
        <v>88462</v>
      </c>
      <c r="N163">
        <v>88740</v>
      </c>
      <c r="O163">
        <v>85574</v>
      </c>
      <c r="P163">
        <v>61503</v>
      </c>
      <c r="Q163">
        <v>43654</v>
      </c>
      <c r="R163">
        <v>41858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46481</v>
      </c>
      <c r="AB163">
        <v>46383</v>
      </c>
      <c r="AC163">
        <v>46285</v>
      </c>
      <c r="AD163">
        <v>46050</v>
      </c>
      <c r="AE163">
        <v>46046</v>
      </c>
      <c r="AF163">
        <v>46055</v>
      </c>
      <c r="AG163">
        <v>44612</v>
      </c>
      <c r="AH163">
        <v>44362</v>
      </c>
      <c r="AI163">
        <v>44018</v>
      </c>
      <c r="AJ163">
        <v>43659</v>
      </c>
      <c r="AK163">
        <v>43393</v>
      </c>
      <c r="AL163">
        <v>42991</v>
      </c>
      <c r="AM163">
        <v>42873</v>
      </c>
      <c r="AN163">
        <v>42030</v>
      </c>
      <c r="AO163">
        <v>42113</v>
      </c>
      <c r="AP163">
        <v>43590</v>
      </c>
      <c r="AQ163">
        <v>44690</v>
      </c>
      <c r="AR163">
        <v>46233</v>
      </c>
      <c r="AS163">
        <v>45597</v>
      </c>
      <c r="AT163">
        <v>44974</v>
      </c>
      <c r="AU163">
        <v>44231</v>
      </c>
      <c r="AV163">
        <v>41995</v>
      </c>
      <c r="AW163">
        <v>40712</v>
      </c>
      <c r="AX163">
        <v>38920</v>
      </c>
      <c r="AY163">
        <v>36904</v>
      </c>
      <c r="AZ163">
        <v>34668</v>
      </c>
      <c r="BA163">
        <v>34716</v>
      </c>
      <c r="BB163">
        <v>34389</v>
      </c>
      <c r="BC163">
        <v>34509</v>
      </c>
      <c r="BD163">
        <v>34635</v>
      </c>
      <c r="BE163">
        <v>21505</v>
      </c>
      <c r="BF163">
        <v>18877</v>
      </c>
      <c r="BG163">
        <v>16269</v>
      </c>
      <c r="BH163">
        <v>13280</v>
      </c>
      <c r="BI163">
        <v>8213</v>
      </c>
      <c r="BJ163">
        <v>1469</v>
      </c>
      <c r="BK163">
        <v>557</v>
      </c>
      <c r="BL163">
        <v>590</v>
      </c>
      <c r="BM163">
        <v>625</v>
      </c>
      <c r="BN163" t="str">
        <f>""</f>
        <v/>
      </c>
      <c r="BO163" t="str">
        <f>""</f>
        <v/>
      </c>
      <c r="BP163" t="str">
        <f>""</f>
        <v/>
      </c>
      <c r="BQ163" t="str">
        <f>""</f>
        <v/>
      </c>
      <c r="BR163" t="str">
        <f>""</f>
        <v/>
      </c>
      <c r="BS163" t="str">
        <f>""</f>
        <v/>
      </c>
      <c r="BT163" t="str">
        <f>""</f>
        <v/>
      </c>
      <c r="BU163" t="str">
        <f>""</f>
        <v/>
      </c>
      <c r="BV163" t="str">
        <f>""</f>
        <v/>
      </c>
      <c r="BW163" t="str">
        <f>""</f>
        <v/>
      </c>
      <c r="BX163" t="str">
        <f>""</f>
        <v/>
      </c>
      <c r="BY163" t="str">
        <f>""</f>
        <v/>
      </c>
      <c r="BZ163" t="str">
        <f>""</f>
        <v/>
      </c>
      <c r="CA163" t="str">
        <f>""</f>
        <v/>
      </c>
      <c r="CB163" t="str">
        <f>""</f>
        <v/>
      </c>
      <c r="CC163" t="str">
        <f>""</f>
        <v/>
      </c>
      <c r="CD163" t="str">
        <f>""</f>
        <v/>
      </c>
      <c r="CE163" t="str">
        <f>""</f>
        <v/>
      </c>
      <c r="CF163" t="str">
        <f>""</f>
        <v/>
      </c>
      <c r="CG163" t="str">
        <f>""</f>
        <v/>
      </c>
      <c r="CH163" t="str">
        <f>""</f>
        <v/>
      </c>
      <c r="CI163" t="str">
        <f>""</f>
        <v/>
      </c>
      <c r="CJ163" t="str">
        <f>""</f>
        <v/>
      </c>
      <c r="CK163" t="str">
        <f>""</f>
        <v/>
      </c>
      <c r="CL163" t="str">
        <f>""</f>
        <v/>
      </c>
      <c r="CM163" t="str">
        <f>""</f>
        <v/>
      </c>
      <c r="CN163" t="str">
        <f>""</f>
        <v/>
      </c>
      <c r="CO163" t="str">
        <f>""</f>
        <v/>
      </c>
      <c r="CP163" t="str">
        <f>""</f>
        <v/>
      </c>
      <c r="CQ163" t="str">
        <f>""</f>
        <v/>
      </c>
      <c r="CR163" t="str">
        <f>""</f>
        <v/>
      </c>
      <c r="CS163" t="str">
        <f>""</f>
        <v/>
      </c>
      <c r="CT163" t="str">
        <f>""</f>
        <v/>
      </c>
      <c r="CU163" t="str">
        <f>""</f>
        <v/>
      </c>
      <c r="CV163" t="str">
        <f>""</f>
        <v/>
      </c>
      <c r="CW163" t="str">
        <f>""</f>
        <v/>
      </c>
      <c r="CX163" t="str">
        <f>""</f>
        <v/>
      </c>
      <c r="CY163" t="str">
        <f>""</f>
        <v/>
      </c>
      <c r="CZ163" t="str">
        <f>""</f>
        <v/>
      </c>
      <c r="DA163" t="str">
        <f>""</f>
        <v/>
      </c>
      <c r="DB163" t="str">
        <f>""</f>
        <v/>
      </c>
      <c r="DC163" t="str">
        <f>""</f>
        <v/>
      </c>
      <c r="DD163" t="str">
        <f>""</f>
        <v/>
      </c>
      <c r="DE163" t="str">
        <f>""</f>
        <v/>
      </c>
      <c r="DF163" t="str">
        <f>""</f>
        <v/>
      </c>
      <c r="DG163" t="str">
        <f>""</f>
        <v/>
      </c>
      <c r="DH163" t="str">
        <f>""</f>
        <v/>
      </c>
      <c r="DI163" t="str">
        <f>""</f>
        <v/>
      </c>
      <c r="DJ163" t="str">
        <f>""</f>
        <v/>
      </c>
      <c r="DK163" t="str">
        <f>""</f>
        <v/>
      </c>
      <c r="DL163" t="str">
        <f>""</f>
        <v/>
      </c>
      <c r="DM163" t="str">
        <f>""</f>
        <v/>
      </c>
      <c r="DN163" t="str">
        <f>""</f>
        <v/>
      </c>
      <c r="DO163" t="str">
        <f>""</f>
        <v/>
      </c>
      <c r="DP163" t="str">
        <f>""</f>
        <v/>
      </c>
      <c r="DQ163" t="str">
        <f>""</f>
        <v/>
      </c>
      <c r="DR163" t="str">
        <f>""</f>
        <v/>
      </c>
      <c r="DS163" t="str">
        <f>""</f>
        <v/>
      </c>
      <c r="DT163" t="str">
        <f>""</f>
        <v/>
      </c>
      <c r="DU163" t="str">
        <f>""</f>
        <v/>
      </c>
    </row>
    <row r="164" spans="1:125" x14ac:dyDescent="0.25">
      <c r="A164" t="str">
        <f>$A$22</f>
        <v xml:space="preserve">                Wells Fargo &amp; Co</v>
      </c>
      <c r="B164" t="str">
        <f>$B$22</f>
        <v>WFC US Equity</v>
      </c>
      <c r="C164" t="str">
        <f>$C$22</f>
        <v>FC470</v>
      </c>
      <c r="D164" t="str">
        <f>$D$22</f>
        <v>FDIC_SECS_HELD_TO_MTY_BOOK_VAL</v>
      </c>
      <c r="E164" t="str">
        <f>$E$22</f>
        <v>Dynamic</v>
      </c>
      <c r="F164">
        <f ca="1">_xll.BDH($B$22,$C$22,$B$143,$B$144,CONCATENATE("Per=",$B$141),"Dts=H","Dir=H",CONCATENATE("Points=",$B$142),"Sort=R","Days=A","Fill=B",CONCATENATE("FX=", $B$140),"cols=60;rows=1")</f>
        <v>235043</v>
      </c>
      <c r="G164">
        <v>243241</v>
      </c>
      <c r="H164">
        <v>250833</v>
      </c>
      <c r="I164">
        <v>258806</v>
      </c>
      <c r="J164">
        <v>262801</v>
      </c>
      <c r="K164">
        <v>267301</v>
      </c>
      <c r="L164">
        <v>272436</v>
      </c>
      <c r="M164">
        <v>277224</v>
      </c>
      <c r="N164">
        <v>297144</v>
      </c>
      <c r="O164">
        <v>300530</v>
      </c>
      <c r="P164">
        <v>301866</v>
      </c>
      <c r="Q164">
        <v>280891</v>
      </c>
      <c r="R164">
        <v>272118</v>
      </c>
      <c r="S164">
        <v>262567</v>
      </c>
      <c r="T164">
        <v>261018</v>
      </c>
      <c r="U164">
        <v>232280</v>
      </c>
      <c r="V164">
        <v>205761</v>
      </c>
      <c r="W164">
        <v>182621</v>
      </c>
      <c r="X164">
        <v>169022</v>
      </c>
      <c r="Y164">
        <v>169920</v>
      </c>
      <c r="Z164">
        <v>153933</v>
      </c>
      <c r="AA164">
        <v>153179</v>
      </c>
      <c r="AB164">
        <v>145876</v>
      </c>
      <c r="AC164">
        <v>144990</v>
      </c>
      <c r="AD164">
        <v>144788</v>
      </c>
      <c r="AE164">
        <v>144131</v>
      </c>
      <c r="AF164">
        <v>144206</v>
      </c>
      <c r="AG164">
        <v>141446</v>
      </c>
      <c r="AH164">
        <v>139335</v>
      </c>
      <c r="AI164">
        <v>142423</v>
      </c>
      <c r="AJ164">
        <v>140392</v>
      </c>
      <c r="AK164">
        <v>108030</v>
      </c>
      <c r="AL164">
        <v>99583</v>
      </c>
      <c r="AM164">
        <v>99241</v>
      </c>
      <c r="AN164">
        <v>100420</v>
      </c>
      <c r="AO164">
        <v>79348</v>
      </c>
      <c r="AP164">
        <v>80197</v>
      </c>
      <c r="AQ164">
        <v>78668</v>
      </c>
      <c r="AR164">
        <v>80102</v>
      </c>
      <c r="AS164">
        <v>67133</v>
      </c>
      <c r="AT164">
        <v>55483</v>
      </c>
      <c r="AU164">
        <v>40758</v>
      </c>
      <c r="AV164">
        <v>30108</v>
      </c>
      <c r="AW164">
        <v>17662</v>
      </c>
      <c r="AX164">
        <v>12346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 t="str">
        <f>""</f>
        <v/>
      </c>
      <c r="BO164" t="str">
        <f>""</f>
        <v/>
      </c>
      <c r="BP164" t="str">
        <f>""</f>
        <v/>
      </c>
      <c r="BQ164" t="str">
        <f>""</f>
        <v/>
      </c>
      <c r="BR164" t="str">
        <f>""</f>
        <v/>
      </c>
      <c r="BS164" t="str">
        <f>""</f>
        <v/>
      </c>
      <c r="BT164" t="str">
        <f>""</f>
        <v/>
      </c>
      <c r="BU164" t="str">
        <f>""</f>
        <v/>
      </c>
      <c r="BV164" t="str">
        <f>""</f>
        <v/>
      </c>
      <c r="BW164" t="str">
        <f>""</f>
        <v/>
      </c>
      <c r="BX164" t="str">
        <f>""</f>
        <v/>
      </c>
      <c r="BY164" t="str">
        <f>""</f>
        <v/>
      </c>
      <c r="BZ164" t="str">
        <f>""</f>
        <v/>
      </c>
      <c r="CA164" t="str">
        <f>""</f>
        <v/>
      </c>
      <c r="CB164" t="str">
        <f>""</f>
        <v/>
      </c>
      <c r="CC164" t="str">
        <f>""</f>
        <v/>
      </c>
      <c r="CD164" t="str">
        <f>""</f>
        <v/>
      </c>
      <c r="CE164" t="str">
        <f>""</f>
        <v/>
      </c>
      <c r="CF164" t="str">
        <f>""</f>
        <v/>
      </c>
      <c r="CG164" t="str">
        <f>""</f>
        <v/>
      </c>
      <c r="CH164" t="str">
        <f>""</f>
        <v/>
      </c>
      <c r="CI164" t="str">
        <f>""</f>
        <v/>
      </c>
      <c r="CJ164" t="str">
        <f>""</f>
        <v/>
      </c>
      <c r="CK164" t="str">
        <f>""</f>
        <v/>
      </c>
      <c r="CL164" t="str">
        <f>""</f>
        <v/>
      </c>
      <c r="CM164" t="str">
        <f>""</f>
        <v/>
      </c>
      <c r="CN164" t="str">
        <f>""</f>
        <v/>
      </c>
      <c r="CO164" t="str">
        <f>""</f>
        <v/>
      </c>
      <c r="CP164" t="str">
        <f>""</f>
        <v/>
      </c>
      <c r="CQ164" t="str">
        <f>""</f>
        <v/>
      </c>
      <c r="CR164" t="str">
        <f>""</f>
        <v/>
      </c>
      <c r="CS164" t="str">
        <f>""</f>
        <v/>
      </c>
      <c r="CT164" t="str">
        <f>""</f>
        <v/>
      </c>
      <c r="CU164" t="str">
        <f>""</f>
        <v/>
      </c>
      <c r="CV164" t="str">
        <f>""</f>
        <v/>
      </c>
      <c r="CW164" t="str">
        <f>""</f>
        <v/>
      </c>
      <c r="CX164" t="str">
        <f>""</f>
        <v/>
      </c>
      <c r="CY164" t="str">
        <f>""</f>
        <v/>
      </c>
      <c r="CZ164" t="str">
        <f>""</f>
        <v/>
      </c>
      <c r="DA164" t="str">
        <f>""</f>
        <v/>
      </c>
      <c r="DB164" t="str">
        <f>""</f>
        <v/>
      </c>
      <c r="DC164" t="str">
        <f>""</f>
        <v/>
      </c>
      <c r="DD164" t="str">
        <f>""</f>
        <v/>
      </c>
      <c r="DE164" t="str">
        <f>""</f>
        <v/>
      </c>
      <c r="DF164" t="str">
        <f>""</f>
        <v/>
      </c>
      <c r="DG164" t="str">
        <f>""</f>
        <v/>
      </c>
      <c r="DH164" t="str">
        <f>""</f>
        <v/>
      </c>
      <c r="DI164" t="str">
        <f>""</f>
        <v/>
      </c>
      <c r="DJ164" t="str">
        <f>""</f>
        <v/>
      </c>
      <c r="DK164" t="str">
        <f>""</f>
        <v/>
      </c>
      <c r="DL164" t="str">
        <f>""</f>
        <v/>
      </c>
      <c r="DM164" t="str">
        <f>""</f>
        <v/>
      </c>
      <c r="DN164" t="str">
        <f>""</f>
        <v/>
      </c>
      <c r="DO164" t="str">
        <f>""</f>
        <v/>
      </c>
      <c r="DP164" t="str">
        <f>""</f>
        <v/>
      </c>
      <c r="DQ164" t="str">
        <f>""</f>
        <v/>
      </c>
      <c r="DR164" t="str">
        <f>""</f>
        <v/>
      </c>
      <c r="DS164" t="str">
        <f>""</f>
        <v/>
      </c>
      <c r="DT164" t="str">
        <f>""</f>
        <v/>
      </c>
      <c r="DU164" t="str">
        <f>""</f>
        <v/>
      </c>
    </row>
    <row r="165" spans="1:125" x14ac:dyDescent="0.25">
      <c r="A165" t="str">
        <f>$A$23</f>
        <v xml:space="preserve">                Western Alliance Bancorp</v>
      </c>
      <c r="B165" t="str">
        <f>$B$23</f>
        <v>WAL US Equity</v>
      </c>
      <c r="C165" t="str">
        <f>$C$23</f>
        <v>FC470</v>
      </c>
      <c r="D165" t="str">
        <f>$D$23</f>
        <v>FDIC_SECS_HELD_TO_MTY_BOOK_VAL</v>
      </c>
      <c r="E165" t="str">
        <f>$E$23</f>
        <v>Dynamic</v>
      </c>
      <c r="F165">
        <f ca="1">_xll.BDH($B$23,$C$23,$B$143,$B$144,CONCATENATE("Per=",$B$141),"Dts=H","Dir=H",CONCATENATE("Points=",$B$142),"Sort=R","Days=A","Fill=B",CONCATENATE("FX=", $B$140),"cols=60;rows=1")</f>
        <v>1526.9069999999999</v>
      </c>
      <c r="G165">
        <v>1524.598</v>
      </c>
      <c r="H165">
        <v>1481.4770000000001</v>
      </c>
      <c r="I165">
        <v>1461.644</v>
      </c>
      <c r="J165">
        <v>1428.8630000000001</v>
      </c>
      <c r="K165">
        <v>1400.9349999999999</v>
      </c>
      <c r="L165">
        <v>1367.2719999999999</v>
      </c>
      <c r="M165">
        <v>1325.3520000000001</v>
      </c>
      <c r="N165">
        <v>1288.8620000000001</v>
      </c>
      <c r="O165">
        <v>1269.6279999999999</v>
      </c>
      <c r="P165">
        <v>1217.915</v>
      </c>
      <c r="Q165">
        <v>1160.9649999999999</v>
      </c>
      <c r="R165">
        <v>1107.134</v>
      </c>
      <c r="S165">
        <v>1046.942</v>
      </c>
      <c r="T165">
        <v>968.66899999999998</v>
      </c>
      <c r="U165">
        <v>697.96799999999996</v>
      </c>
      <c r="V165">
        <v>568.75900000000001</v>
      </c>
      <c r="W165">
        <v>504.47699999999998</v>
      </c>
      <c r="X165">
        <v>479.38</v>
      </c>
      <c r="Y165">
        <v>483.77499999999998</v>
      </c>
      <c r="Z165">
        <v>485.10700000000003</v>
      </c>
      <c r="AA165">
        <v>442.39600000000002</v>
      </c>
      <c r="AB165">
        <v>435.99700000000001</v>
      </c>
      <c r="AC165">
        <v>310.86500000000001</v>
      </c>
      <c r="AD165">
        <v>302.90499999999997</v>
      </c>
      <c r="AE165">
        <v>288.29000000000002</v>
      </c>
      <c r="AF165">
        <v>280.18599999999998</v>
      </c>
      <c r="AG165">
        <v>262.30399999999997</v>
      </c>
      <c r="AH165">
        <v>255.05</v>
      </c>
      <c r="AI165">
        <v>154.91999999999999</v>
      </c>
      <c r="AJ165">
        <v>132.80199999999999</v>
      </c>
      <c r="AK165">
        <v>102.59</v>
      </c>
      <c r="AL165">
        <v>92.078999999999994</v>
      </c>
      <c r="AM165">
        <v>52.420999999999999</v>
      </c>
      <c r="AN165">
        <v>36.929000000000002</v>
      </c>
      <c r="AO165">
        <v>21.513999999999999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275.738</v>
      </c>
      <c r="AX165">
        <v>283.00599999999997</v>
      </c>
      <c r="AY165">
        <v>289.108</v>
      </c>
      <c r="AZ165">
        <v>289.85000000000002</v>
      </c>
      <c r="BA165">
        <v>290.59100000000001</v>
      </c>
      <c r="BB165">
        <v>291.33300000000003</v>
      </c>
      <c r="BC165">
        <v>283.47199999999998</v>
      </c>
      <c r="BD165">
        <v>284.89100000000002</v>
      </c>
      <c r="BE165">
        <v>285.577</v>
      </c>
      <c r="BF165">
        <v>286.25799999999998</v>
      </c>
      <c r="BG165">
        <v>173.19300000000001</v>
      </c>
      <c r="BH165">
        <v>82.441000000000003</v>
      </c>
      <c r="BI165">
        <v>48.149000000000001</v>
      </c>
      <c r="BJ165">
        <v>48.151000000000003</v>
      </c>
      <c r="BK165">
        <v>24.103999999999999</v>
      </c>
      <c r="BL165">
        <v>4.6100000000000003</v>
      </c>
      <c r="BM165">
        <v>5.827</v>
      </c>
      <c r="BN165" t="str">
        <f>""</f>
        <v/>
      </c>
      <c r="BO165" t="str">
        <f>""</f>
        <v/>
      </c>
      <c r="BP165" t="str">
        <f>""</f>
        <v/>
      </c>
      <c r="BQ165" t="str">
        <f>""</f>
        <v/>
      </c>
      <c r="BR165" t="str">
        <f>""</f>
        <v/>
      </c>
      <c r="BS165" t="str">
        <f>""</f>
        <v/>
      </c>
      <c r="BT165" t="str">
        <f>""</f>
        <v/>
      </c>
      <c r="BU165" t="str">
        <f>""</f>
        <v/>
      </c>
      <c r="BV165" t="str">
        <f>""</f>
        <v/>
      </c>
      <c r="BW165" t="str">
        <f>""</f>
        <v/>
      </c>
      <c r="BX165" t="str">
        <f>""</f>
        <v/>
      </c>
      <c r="BY165" t="str">
        <f>""</f>
        <v/>
      </c>
      <c r="BZ165" t="str">
        <f>""</f>
        <v/>
      </c>
      <c r="CA165" t="str">
        <f>""</f>
        <v/>
      </c>
      <c r="CB165" t="str">
        <f>""</f>
        <v/>
      </c>
      <c r="CC165" t="str">
        <f>""</f>
        <v/>
      </c>
      <c r="CD165" t="str">
        <f>""</f>
        <v/>
      </c>
      <c r="CE165" t="str">
        <f>""</f>
        <v/>
      </c>
      <c r="CF165" t="str">
        <f>""</f>
        <v/>
      </c>
      <c r="CG165" t="str">
        <f>""</f>
        <v/>
      </c>
      <c r="CH165" t="str">
        <f>""</f>
        <v/>
      </c>
      <c r="CI165" t="str">
        <f>""</f>
        <v/>
      </c>
      <c r="CJ165" t="str">
        <f>""</f>
        <v/>
      </c>
      <c r="CK165" t="str">
        <f>""</f>
        <v/>
      </c>
      <c r="CL165" t="str">
        <f>""</f>
        <v/>
      </c>
      <c r="CM165" t="str">
        <f>""</f>
        <v/>
      </c>
      <c r="CN165" t="str">
        <f>""</f>
        <v/>
      </c>
      <c r="CO165" t="str">
        <f>""</f>
        <v/>
      </c>
      <c r="CP165" t="str">
        <f>""</f>
        <v/>
      </c>
      <c r="CQ165" t="str">
        <f>""</f>
        <v/>
      </c>
      <c r="CR165" t="str">
        <f>""</f>
        <v/>
      </c>
      <c r="CS165" t="str">
        <f>""</f>
        <v/>
      </c>
      <c r="CT165" t="str">
        <f>""</f>
        <v/>
      </c>
      <c r="CU165" t="str">
        <f>""</f>
        <v/>
      </c>
      <c r="CV165" t="str">
        <f>""</f>
        <v/>
      </c>
      <c r="CW165" t="str">
        <f>""</f>
        <v/>
      </c>
      <c r="CX165" t="str">
        <f>""</f>
        <v/>
      </c>
      <c r="CY165" t="str">
        <f>""</f>
        <v/>
      </c>
      <c r="CZ165" t="str">
        <f>""</f>
        <v/>
      </c>
      <c r="DA165" t="str">
        <f>""</f>
        <v/>
      </c>
      <c r="DB165" t="str">
        <f>""</f>
        <v/>
      </c>
      <c r="DC165" t="str">
        <f>""</f>
        <v/>
      </c>
      <c r="DD165" t="str">
        <f>""</f>
        <v/>
      </c>
      <c r="DE165" t="str">
        <f>""</f>
        <v/>
      </c>
      <c r="DF165" t="str">
        <f>""</f>
        <v/>
      </c>
      <c r="DG165" t="str">
        <f>""</f>
        <v/>
      </c>
      <c r="DH165" t="str">
        <f>""</f>
        <v/>
      </c>
      <c r="DI165" t="str">
        <f>""</f>
        <v/>
      </c>
      <c r="DJ165" t="str">
        <f>""</f>
        <v/>
      </c>
      <c r="DK165" t="str">
        <f>""</f>
        <v/>
      </c>
      <c r="DL165" t="str">
        <f>""</f>
        <v/>
      </c>
      <c r="DM165" t="str">
        <f>""</f>
        <v/>
      </c>
      <c r="DN165" t="str">
        <f>""</f>
        <v/>
      </c>
      <c r="DO165" t="str">
        <f>""</f>
        <v/>
      </c>
      <c r="DP165" t="str">
        <f>""</f>
        <v/>
      </c>
      <c r="DQ165" t="str">
        <f>""</f>
        <v/>
      </c>
      <c r="DR165" t="str">
        <f>""</f>
        <v/>
      </c>
      <c r="DS165" t="str">
        <f>""</f>
        <v/>
      </c>
      <c r="DT165" t="str">
        <f>""</f>
        <v/>
      </c>
      <c r="DU165" t="str">
        <f>""</f>
        <v/>
      </c>
    </row>
    <row r="166" spans="1:125" x14ac:dyDescent="0.25">
      <c r="A166" t="str">
        <f>$A$24</f>
        <v xml:space="preserve">                Zions Bancorp NA</v>
      </c>
      <c r="B166" t="str">
        <f>$B$24</f>
        <v>ZION US Equity</v>
      </c>
      <c r="C166" t="str">
        <f>$C$24</f>
        <v>FC470</v>
      </c>
      <c r="D166" t="str">
        <f>$D$24</f>
        <v>FDIC_SECS_HELD_TO_MTY_BOOK_VAL</v>
      </c>
      <c r="E166" t="str">
        <f>$E$24</f>
        <v>Dynamic</v>
      </c>
      <c r="F166">
        <f ca="1">_xll.BDH($B$24,$C$24,$B$143,$B$144,CONCATENATE("Per=",$B$141),"Dts=H","Dir=H",CONCATENATE("Points=",$B$142),"Sort=R","Days=A","Fill=B",CONCATENATE("FX=", $B$140),"cols=60;rows=1")</f>
        <v>9669.1720000000005</v>
      </c>
      <c r="G166">
        <v>9857.2620000000006</v>
      </c>
      <c r="H166">
        <v>10065.456</v>
      </c>
      <c r="I166">
        <v>10209.26</v>
      </c>
      <c r="J166">
        <v>10381.858</v>
      </c>
      <c r="K166">
        <v>10559.152</v>
      </c>
      <c r="L166">
        <v>10753.477999999999</v>
      </c>
      <c r="M166">
        <v>10961.092000000001</v>
      </c>
      <c r="N166">
        <v>11125.459000000001</v>
      </c>
      <c r="O166">
        <v>423.28199999999998</v>
      </c>
      <c r="P166">
        <v>613.92899999999997</v>
      </c>
      <c r="Q166">
        <v>438.55200000000002</v>
      </c>
      <c r="R166">
        <v>441.3</v>
      </c>
      <c r="S166">
        <v>458.87799999999999</v>
      </c>
      <c r="T166">
        <v>620.16300000000001</v>
      </c>
      <c r="U166">
        <v>583.20000000000005</v>
      </c>
      <c r="Y166">
        <v>584.47400000000005</v>
      </c>
      <c r="BN166" t="str">
        <f>""</f>
        <v/>
      </c>
      <c r="BO166" t="str">
        <f>""</f>
        <v/>
      </c>
      <c r="BP166" t="str">
        <f>""</f>
        <v/>
      </c>
      <c r="BQ166" t="str">
        <f>""</f>
        <v/>
      </c>
      <c r="BR166" t="str">
        <f>""</f>
        <v/>
      </c>
      <c r="BS166" t="str">
        <f>""</f>
        <v/>
      </c>
      <c r="BT166" t="str">
        <f>""</f>
        <v/>
      </c>
      <c r="BU166" t="str">
        <f>""</f>
        <v/>
      </c>
      <c r="BV166" t="str">
        <f>""</f>
        <v/>
      </c>
      <c r="BW166" t="str">
        <f>""</f>
        <v/>
      </c>
      <c r="BX166" t="str">
        <f>""</f>
        <v/>
      </c>
      <c r="BY166" t="str">
        <f>""</f>
        <v/>
      </c>
      <c r="BZ166" t="str">
        <f>""</f>
        <v/>
      </c>
      <c r="CA166" t="str">
        <f>""</f>
        <v/>
      </c>
      <c r="CB166" t="str">
        <f>""</f>
        <v/>
      </c>
      <c r="CC166" t="str">
        <f>""</f>
        <v/>
      </c>
      <c r="CD166" t="str">
        <f>""</f>
        <v/>
      </c>
      <c r="CE166" t="str">
        <f>""</f>
        <v/>
      </c>
      <c r="CF166" t="str">
        <f>""</f>
        <v/>
      </c>
      <c r="CG166" t="str">
        <f>""</f>
        <v/>
      </c>
      <c r="CH166" t="str">
        <f>""</f>
        <v/>
      </c>
      <c r="CI166" t="str">
        <f>""</f>
        <v/>
      </c>
      <c r="CJ166" t="str">
        <f>""</f>
        <v/>
      </c>
      <c r="CK166" t="str">
        <f>""</f>
        <v/>
      </c>
      <c r="CL166" t="str">
        <f>""</f>
        <v/>
      </c>
      <c r="CM166" t="str">
        <f>""</f>
        <v/>
      </c>
      <c r="CN166" t="str">
        <f>""</f>
        <v/>
      </c>
      <c r="CO166" t="str">
        <f>""</f>
        <v/>
      </c>
      <c r="CP166" t="str">
        <f>""</f>
        <v/>
      </c>
      <c r="CQ166" t="str">
        <f>""</f>
        <v/>
      </c>
      <c r="CR166" t="str">
        <f>""</f>
        <v/>
      </c>
      <c r="CS166" t="str">
        <f>""</f>
        <v/>
      </c>
      <c r="CT166" t="str">
        <f>""</f>
        <v/>
      </c>
      <c r="CU166" t="str">
        <f>""</f>
        <v/>
      </c>
      <c r="CV166" t="str">
        <f>""</f>
        <v/>
      </c>
      <c r="CW166" t="str">
        <f>""</f>
        <v/>
      </c>
      <c r="CX166" t="str">
        <f>""</f>
        <v/>
      </c>
      <c r="CY166" t="str">
        <f>""</f>
        <v/>
      </c>
      <c r="CZ166" t="str">
        <f>""</f>
        <v/>
      </c>
      <c r="DA166" t="str">
        <f>""</f>
        <v/>
      </c>
      <c r="DB166" t="str">
        <f>""</f>
        <v/>
      </c>
      <c r="DC166" t="str">
        <f>""</f>
        <v/>
      </c>
      <c r="DD166" t="str">
        <f>""</f>
        <v/>
      </c>
      <c r="DE166" t="str">
        <f>""</f>
        <v/>
      </c>
      <c r="DF166" t="str">
        <f>""</f>
        <v/>
      </c>
      <c r="DG166" t="str">
        <f>""</f>
        <v/>
      </c>
      <c r="DH166" t="str">
        <f>""</f>
        <v/>
      </c>
      <c r="DI166" t="str">
        <f>""</f>
        <v/>
      </c>
      <c r="DJ166" t="str">
        <f>""</f>
        <v/>
      </c>
      <c r="DK166" t="str">
        <f>""</f>
        <v/>
      </c>
      <c r="DL166" t="str">
        <f>""</f>
        <v/>
      </c>
      <c r="DM166" t="str">
        <f>""</f>
        <v/>
      </c>
      <c r="DN166" t="str">
        <f>""</f>
        <v/>
      </c>
      <c r="DO166" t="str">
        <f>""</f>
        <v/>
      </c>
      <c r="DP166" t="str">
        <f>""</f>
        <v/>
      </c>
      <c r="DQ166" t="str">
        <f>""</f>
        <v/>
      </c>
      <c r="DR166" t="str">
        <f>""</f>
        <v/>
      </c>
      <c r="DS166" t="str">
        <f>""</f>
        <v/>
      </c>
      <c r="DT166" t="str">
        <f>""</f>
        <v/>
      </c>
      <c r="DU166" t="str">
        <f>""</f>
        <v/>
      </c>
    </row>
    <row r="167" spans="1:125" x14ac:dyDescent="0.25">
      <c r="A167" t="str">
        <f>$A$26</f>
        <v xml:space="preserve">                Bank of America Corp</v>
      </c>
      <c r="B167" t="str">
        <f>$B$26</f>
        <v>BAC US Equity</v>
      </c>
      <c r="C167" t="str">
        <f>$C$26</f>
        <v>FC471</v>
      </c>
      <c r="D167" t="str">
        <f>$D$26</f>
        <v>FDIC_SECS_AVAIL_FOR_SALE_MKT_VAL</v>
      </c>
      <c r="E167" t="str">
        <f>$E$26</f>
        <v>Dynamic</v>
      </c>
      <c r="F167">
        <f ca="1">_xll.BDH($B$26,$C$26,$B$143,$B$144,CONCATENATE("Per=",$B$141),"Dts=H","Dir=H",CONCATENATE("Points=",$B$142),"Sort=R","Days=A","Fill=B",CONCATENATE("FX=", $B$140),"cols=60;rows=1")</f>
        <v>346432</v>
      </c>
      <c r="G167">
        <v>315719</v>
      </c>
      <c r="H167">
        <v>291295</v>
      </c>
      <c r="I167">
        <v>313072</v>
      </c>
      <c r="J167">
        <v>266649</v>
      </c>
      <c r="K167">
        <v>165610</v>
      </c>
      <c r="L167">
        <v>132005</v>
      </c>
      <c r="M167">
        <v>162410</v>
      </c>
      <c r="N167">
        <v>220788</v>
      </c>
      <c r="O167">
        <v>226340</v>
      </c>
      <c r="P167">
        <v>266254</v>
      </c>
      <c r="Q167">
        <v>289287</v>
      </c>
      <c r="R167">
        <v>299178</v>
      </c>
      <c r="S167">
        <v>275357</v>
      </c>
      <c r="T167">
        <v>278179</v>
      </c>
      <c r="U167">
        <v>270614</v>
      </c>
      <c r="V167">
        <v>234491</v>
      </c>
      <c r="W167">
        <v>233692</v>
      </c>
      <c r="X167">
        <v>190432</v>
      </c>
      <c r="Y167">
        <v>206221</v>
      </c>
      <c r="Z167">
        <v>245639</v>
      </c>
      <c r="AA167">
        <v>244872</v>
      </c>
      <c r="AB167">
        <v>235979</v>
      </c>
      <c r="AC167">
        <v>231612</v>
      </c>
      <c r="AD167">
        <v>229366</v>
      </c>
      <c r="AE167">
        <v>239048</v>
      </c>
      <c r="AF167">
        <v>262119</v>
      </c>
      <c r="AG167">
        <v>290360</v>
      </c>
      <c r="AH167">
        <v>304889</v>
      </c>
      <c r="AI167">
        <v>301433</v>
      </c>
      <c r="AJ167">
        <v>301187</v>
      </c>
      <c r="AK167">
        <v>297739</v>
      </c>
      <c r="AL167">
        <v>296377</v>
      </c>
      <c r="AM167">
        <v>303029</v>
      </c>
      <c r="AN167">
        <v>290535</v>
      </c>
      <c r="AO167">
        <v>285238</v>
      </c>
      <c r="AP167">
        <v>307135</v>
      </c>
      <c r="AQ167">
        <v>299025</v>
      </c>
      <c r="AR167">
        <v>298471</v>
      </c>
      <c r="AS167">
        <v>290124</v>
      </c>
      <c r="AT167">
        <v>286033</v>
      </c>
      <c r="AU167">
        <v>267993</v>
      </c>
      <c r="AV167">
        <v>252539</v>
      </c>
      <c r="AW167">
        <v>252412</v>
      </c>
      <c r="AX167">
        <v>238253</v>
      </c>
      <c r="AY167">
        <v>237464</v>
      </c>
      <c r="AZ167">
        <v>243227</v>
      </c>
      <c r="BA167">
        <v>266295</v>
      </c>
      <c r="BB167">
        <v>291630.375</v>
      </c>
      <c r="BC167">
        <v>311269.13199999998</v>
      </c>
      <c r="BD167">
        <v>305267.08199999999</v>
      </c>
      <c r="BE167">
        <v>302138.55300000001</v>
      </c>
      <c r="BF167">
        <v>287897.79100000003</v>
      </c>
      <c r="BG167">
        <v>333442.88900000002</v>
      </c>
      <c r="BH167">
        <v>351282.41700000002</v>
      </c>
      <c r="BI167">
        <v>352369.65899999999</v>
      </c>
      <c r="BJ167">
        <v>360388.98599999998</v>
      </c>
      <c r="BK167">
        <v>344804.35</v>
      </c>
      <c r="BL167">
        <v>319256.326</v>
      </c>
      <c r="BM167">
        <v>326065.53100000002</v>
      </c>
      <c r="BN167" t="str">
        <f>""</f>
        <v/>
      </c>
      <c r="BO167" t="str">
        <f>""</f>
        <v/>
      </c>
      <c r="BP167" t="str">
        <f>""</f>
        <v/>
      </c>
      <c r="BQ167" t="str">
        <f>""</f>
        <v/>
      </c>
      <c r="BR167" t="str">
        <f>""</f>
        <v/>
      </c>
      <c r="BS167" t="str">
        <f>""</f>
        <v/>
      </c>
      <c r="BT167" t="str">
        <f>""</f>
        <v/>
      </c>
      <c r="BU167" t="str">
        <f>""</f>
        <v/>
      </c>
      <c r="BV167" t="str">
        <f>""</f>
        <v/>
      </c>
      <c r="BW167" t="str">
        <f>""</f>
        <v/>
      </c>
      <c r="BX167" t="str">
        <f>""</f>
        <v/>
      </c>
      <c r="BY167" t="str">
        <f>""</f>
        <v/>
      </c>
      <c r="BZ167" t="str">
        <f>""</f>
        <v/>
      </c>
      <c r="CA167" t="str">
        <f>""</f>
        <v/>
      </c>
      <c r="CB167" t="str">
        <f>""</f>
        <v/>
      </c>
      <c r="CC167" t="str">
        <f>""</f>
        <v/>
      </c>
      <c r="CD167" t="str">
        <f>""</f>
        <v/>
      </c>
      <c r="CE167" t="str">
        <f>""</f>
        <v/>
      </c>
      <c r="CF167" t="str">
        <f>""</f>
        <v/>
      </c>
      <c r="CG167" t="str">
        <f>""</f>
        <v/>
      </c>
      <c r="CH167" t="str">
        <f>""</f>
        <v/>
      </c>
      <c r="CI167" t="str">
        <f>""</f>
        <v/>
      </c>
      <c r="CJ167" t="str">
        <f>""</f>
        <v/>
      </c>
      <c r="CK167" t="str">
        <f>""</f>
        <v/>
      </c>
      <c r="CL167" t="str">
        <f>""</f>
        <v/>
      </c>
      <c r="CM167" t="str">
        <f>""</f>
        <v/>
      </c>
      <c r="CN167" t="str">
        <f>""</f>
        <v/>
      </c>
      <c r="CO167" t="str">
        <f>""</f>
        <v/>
      </c>
      <c r="CP167" t="str">
        <f>""</f>
        <v/>
      </c>
      <c r="CQ167" t="str">
        <f>""</f>
        <v/>
      </c>
      <c r="CR167" t="str">
        <f>""</f>
        <v/>
      </c>
      <c r="CS167" t="str">
        <f>""</f>
        <v/>
      </c>
      <c r="CT167" t="str">
        <f>""</f>
        <v/>
      </c>
      <c r="CU167" t="str">
        <f>""</f>
        <v/>
      </c>
      <c r="CV167" t="str">
        <f>""</f>
        <v/>
      </c>
      <c r="CW167" t="str">
        <f>""</f>
        <v/>
      </c>
      <c r="CX167" t="str">
        <f>""</f>
        <v/>
      </c>
      <c r="CY167" t="str">
        <f>""</f>
        <v/>
      </c>
      <c r="CZ167" t="str">
        <f>""</f>
        <v/>
      </c>
      <c r="DA167" t="str">
        <f>""</f>
        <v/>
      </c>
      <c r="DB167" t="str">
        <f>""</f>
        <v/>
      </c>
      <c r="DC167" t="str">
        <f>""</f>
        <v/>
      </c>
      <c r="DD167" t="str">
        <f>""</f>
        <v/>
      </c>
      <c r="DE167" t="str">
        <f>""</f>
        <v/>
      </c>
      <c r="DF167" t="str">
        <f>""</f>
        <v/>
      </c>
      <c r="DG167" t="str">
        <f>""</f>
        <v/>
      </c>
      <c r="DH167" t="str">
        <f>""</f>
        <v/>
      </c>
      <c r="DI167" t="str">
        <f>""</f>
        <v/>
      </c>
      <c r="DJ167" t="str">
        <f>""</f>
        <v/>
      </c>
      <c r="DK167" t="str">
        <f>""</f>
        <v/>
      </c>
      <c r="DL167" t="str">
        <f>""</f>
        <v/>
      </c>
      <c r="DM167" t="str">
        <f>""</f>
        <v/>
      </c>
      <c r="DN167" t="str">
        <f>""</f>
        <v/>
      </c>
      <c r="DO167" t="str">
        <f>""</f>
        <v/>
      </c>
      <c r="DP167" t="str">
        <f>""</f>
        <v/>
      </c>
      <c r="DQ167" t="str">
        <f>""</f>
        <v/>
      </c>
      <c r="DR167" t="str">
        <f>""</f>
        <v/>
      </c>
      <c r="DS167" t="str">
        <f>""</f>
        <v/>
      </c>
      <c r="DT167" t="str">
        <f>""</f>
        <v/>
      </c>
      <c r="DU167" t="str">
        <f>""</f>
        <v/>
      </c>
    </row>
    <row r="168" spans="1:125" x14ac:dyDescent="0.25">
      <c r="A168" t="str">
        <f>$A$27</f>
        <v xml:space="preserve">                Citigroup Inc</v>
      </c>
      <c r="B168" t="str">
        <f>$B$27</f>
        <v>C US Equity</v>
      </c>
      <c r="C168" t="str">
        <f>$C$27</f>
        <v>FC471</v>
      </c>
      <c r="D168" t="str">
        <f>$D$27</f>
        <v>FDIC_SECS_AVAIL_FOR_SALE_MKT_VAL</v>
      </c>
      <c r="E168" t="str">
        <f>$E$27</f>
        <v>Dynamic</v>
      </c>
      <c r="F168">
        <f ca="1">_xll.BDH($B$27,$C$27,$B$143,$B$144,CONCATENATE("Per=",$B$141),"Dts=H","Dir=H",CONCATENATE("Points=",$B$142),"Sort=R","Days=A","Fill=B",CONCATENATE("FX=", $B$140),"cols=60;rows=1")</f>
        <v>222989</v>
      </c>
      <c r="G168">
        <v>230095</v>
      </c>
      <c r="H168">
        <v>244049</v>
      </c>
      <c r="I168">
        <v>249149</v>
      </c>
      <c r="J168">
        <v>250198</v>
      </c>
      <c r="K168">
        <v>234933</v>
      </c>
      <c r="L168">
        <v>231239</v>
      </c>
      <c r="M168">
        <v>235329</v>
      </c>
      <c r="N168">
        <v>245486</v>
      </c>
      <c r="O168">
        <v>228387</v>
      </c>
      <c r="P168">
        <v>233564</v>
      </c>
      <c r="Q168">
        <v>260087</v>
      </c>
      <c r="R168">
        <v>283645</v>
      </c>
      <c r="S168">
        <v>290309</v>
      </c>
      <c r="T168">
        <v>297315</v>
      </c>
      <c r="U168">
        <v>299280</v>
      </c>
      <c r="V168">
        <v>330218</v>
      </c>
      <c r="W168">
        <v>339161</v>
      </c>
      <c r="X168">
        <v>337636</v>
      </c>
      <c r="Y168">
        <v>304150</v>
      </c>
      <c r="Z168">
        <v>275823</v>
      </c>
      <c r="AA168">
        <v>271519</v>
      </c>
      <c r="AB168">
        <v>269246</v>
      </c>
      <c r="AC168">
        <v>271460</v>
      </c>
      <c r="AD168">
        <v>284066</v>
      </c>
      <c r="AE168">
        <v>280867</v>
      </c>
      <c r="AF168">
        <v>285445</v>
      </c>
      <c r="AG168">
        <v>291358</v>
      </c>
      <c r="AH168">
        <v>290616</v>
      </c>
      <c r="AI168">
        <v>294977</v>
      </c>
      <c r="AJ168">
        <v>293359</v>
      </c>
      <c r="AK168">
        <v>289982</v>
      </c>
      <c r="AL168">
        <v>299168</v>
      </c>
      <c r="AM168">
        <v>307533</v>
      </c>
      <c r="AN168">
        <v>312241</v>
      </c>
      <c r="AO168">
        <v>308243</v>
      </c>
      <c r="AP168">
        <v>299136</v>
      </c>
      <c r="AQ168">
        <v>302117</v>
      </c>
      <c r="AR168">
        <v>295570</v>
      </c>
      <c r="AS168">
        <v>296736</v>
      </c>
      <c r="AT168">
        <v>300143</v>
      </c>
      <c r="AU168">
        <v>298678</v>
      </c>
      <c r="AV168">
        <v>292578</v>
      </c>
      <c r="AW168">
        <v>290937</v>
      </c>
      <c r="AX168">
        <v>286511</v>
      </c>
      <c r="AY168">
        <v>279877</v>
      </c>
      <c r="AZ168">
        <v>277378</v>
      </c>
      <c r="BA168">
        <v>281749</v>
      </c>
      <c r="BB168">
        <v>288695</v>
      </c>
      <c r="BC168">
        <v>271261</v>
      </c>
      <c r="BD168">
        <v>279586</v>
      </c>
      <c r="BE168">
        <v>270583</v>
      </c>
      <c r="BF168">
        <v>265204</v>
      </c>
      <c r="BG168">
        <v>258361</v>
      </c>
      <c r="BH168">
        <v>277831</v>
      </c>
      <c r="BI168">
        <v>294638</v>
      </c>
      <c r="BJ168">
        <v>274422</v>
      </c>
      <c r="BK168">
        <v>296527</v>
      </c>
      <c r="BL168">
        <v>270587</v>
      </c>
      <c r="BM168">
        <v>255299</v>
      </c>
      <c r="BN168" t="str">
        <f>""</f>
        <v/>
      </c>
      <c r="BO168" t="str">
        <f>""</f>
        <v/>
      </c>
      <c r="BP168" t="str">
        <f>""</f>
        <v/>
      </c>
      <c r="BQ168" t="str">
        <f>""</f>
        <v/>
      </c>
      <c r="BR168" t="str">
        <f>""</f>
        <v/>
      </c>
      <c r="BS168" t="str">
        <f>""</f>
        <v/>
      </c>
      <c r="BT168" t="str">
        <f>""</f>
        <v/>
      </c>
      <c r="BU168" t="str">
        <f>""</f>
        <v/>
      </c>
      <c r="BV168" t="str">
        <f>""</f>
        <v/>
      </c>
      <c r="BW168" t="str">
        <f>""</f>
        <v/>
      </c>
      <c r="BX168" t="str">
        <f>""</f>
        <v/>
      </c>
      <c r="BY168" t="str">
        <f>""</f>
        <v/>
      </c>
      <c r="BZ168" t="str">
        <f>""</f>
        <v/>
      </c>
      <c r="CA168" t="str">
        <f>""</f>
        <v/>
      </c>
      <c r="CB168" t="str">
        <f>""</f>
        <v/>
      </c>
      <c r="CC168" t="str">
        <f>""</f>
        <v/>
      </c>
      <c r="CD168" t="str">
        <f>""</f>
        <v/>
      </c>
      <c r="CE168" t="str">
        <f>""</f>
        <v/>
      </c>
      <c r="CF168" t="str">
        <f>""</f>
        <v/>
      </c>
      <c r="CG168" t="str">
        <f>""</f>
        <v/>
      </c>
      <c r="CH168" t="str">
        <f>""</f>
        <v/>
      </c>
      <c r="CI168" t="str">
        <f>""</f>
        <v/>
      </c>
      <c r="CJ168" t="str">
        <f>""</f>
        <v/>
      </c>
      <c r="CK168" t="str">
        <f>""</f>
        <v/>
      </c>
      <c r="CL168" t="str">
        <f>""</f>
        <v/>
      </c>
      <c r="CM168" t="str">
        <f>""</f>
        <v/>
      </c>
      <c r="CN168" t="str">
        <f>""</f>
        <v/>
      </c>
      <c r="CO168" t="str">
        <f>""</f>
        <v/>
      </c>
      <c r="CP168" t="str">
        <f>""</f>
        <v/>
      </c>
      <c r="CQ168" t="str">
        <f>""</f>
        <v/>
      </c>
      <c r="CR168" t="str">
        <f>""</f>
        <v/>
      </c>
      <c r="CS168" t="str">
        <f>""</f>
        <v/>
      </c>
      <c r="CT168" t="str">
        <f>""</f>
        <v/>
      </c>
      <c r="CU168" t="str">
        <f>""</f>
        <v/>
      </c>
      <c r="CV168" t="str">
        <f>""</f>
        <v/>
      </c>
      <c r="CW168" t="str">
        <f>""</f>
        <v/>
      </c>
      <c r="CX168" t="str">
        <f>""</f>
        <v/>
      </c>
      <c r="CY168" t="str">
        <f>""</f>
        <v/>
      </c>
      <c r="CZ168" t="str">
        <f>""</f>
        <v/>
      </c>
      <c r="DA168" t="str">
        <f>""</f>
        <v/>
      </c>
      <c r="DB168" t="str">
        <f>""</f>
        <v/>
      </c>
      <c r="DC168" t="str">
        <f>""</f>
        <v/>
      </c>
      <c r="DD168" t="str">
        <f>""</f>
        <v/>
      </c>
      <c r="DE168" t="str">
        <f>""</f>
        <v/>
      </c>
      <c r="DF168" t="str">
        <f>""</f>
        <v/>
      </c>
      <c r="DG168" t="str">
        <f>""</f>
        <v/>
      </c>
      <c r="DH168" t="str">
        <f>""</f>
        <v/>
      </c>
      <c r="DI168" t="str">
        <f>""</f>
        <v/>
      </c>
      <c r="DJ168" t="str">
        <f>""</f>
        <v/>
      </c>
      <c r="DK168" t="str">
        <f>""</f>
        <v/>
      </c>
      <c r="DL168" t="str">
        <f>""</f>
        <v/>
      </c>
      <c r="DM168" t="str">
        <f>""</f>
        <v/>
      </c>
      <c r="DN168" t="str">
        <f>""</f>
        <v/>
      </c>
      <c r="DO168" t="str">
        <f>""</f>
        <v/>
      </c>
      <c r="DP168" t="str">
        <f>""</f>
        <v/>
      </c>
      <c r="DQ168" t="str">
        <f>""</f>
        <v/>
      </c>
      <c r="DR168" t="str">
        <f>""</f>
        <v/>
      </c>
      <c r="DS168" t="str">
        <f>""</f>
        <v/>
      </c>
      <c r="DT168" t="str">
        <f>""</f>
        <v/>
      </c>
      <c r="DU168" t="str">
        <f>""</f>
        <v/>
      </c>
    </row>
    <row r="169" spans="1:125" x14ac:dyDescent="0.25">
      <c r="A169" t="str">
        <f>$A$28</f>
        <v xml:space="preserve">                Citizens Financial Group Inc</v>
      </c>
      <c r="B169" t="str">
        <f>$B$28</f>
        <v>CFG US Equity</v>
      </c>
      <c r="C169" t="str">
        <f>$C$28</f>
        <v>FC471</v>
      </c>
      <c r="D169" t="str">
        <f>$D$28</f>
        <v>FDIC_SECS_AVAIL_FOR_SALE_MKT_VAL</v>
      </c>
      <c r="E169" t="str">
        <f>$E$28</f>
        <v>Dynamic</v>
      </c>
      <c r="F169">
        <f ca="1">_xll.BDH($B$28,$C$28,$B$143,$B$144,CONCATENATE("Per=",$B$141),"Dts=H","Dir=H",CONCATENATE("Points=",$B$142),"Sort=R","Days=A","Fill=B",CONCATENATE("FX=", $B$140),"cols=60;rows=1")</f>
        <v>32764.804</v>
      </c>
      <c r="G169">
        <v>32834.57</v>
      </c>
      <c r="H169">
        <v>31938.107</v>
      </c>
      <c r="I169">
        <v>31186.589</v>
      </c>
      <c r="J169">
        <v>29777.315999999999</v>
      </c>
      <c r="K169">
        <v>25068.662</v>
      </c>
      <c r="L169">
        <v>24754.548999999999</v>
      </c>
      <c r="M169">
        <v>23844.717000000001</v>
      </c>
      <c r="N169">
        <v>24006.589</v>
      </c>
      <c r="O169">
        <v>23477.708999999999</v>
      </c>
      <c r="P169">
        <v>24961.437000000002</v>
      </c>
      <c r="Q169">
        <v>25318.882000000001</v>
      </c>
      <c r="R169">
        <v>26066.771000000001</v>
      </c>
      <c r="S169">
        <v>24910.557000000001</v>
      </c>
      <c r="T169">
        <v>24583.025000000001</v>
      </c>
      <c r="U169">
        <v>24466.614000000001</v>
      </c>
      <c r="V169">
        <v>22942.361000000001</v>
      </c>
      <c r="W169">
        <v>22884.384999999998</v>
      </c>
      <c r="X169">
        <v>22143.732</v>
      </c>
      <c r="Y169">
        <v>22307.134999999998</v>
      </c>
      <c r="Z169">
        <v>20612.674999999999</v>
      </c>
      <c r="AA169">
        <v>21502.073</v>
      </c>
      <c r="AB169">
        <v>21697.963</v>
      </c>
      <c r="AC169">
        <v>21503.913</v>
      </c>
      <c r="AD169">
        <v>19894.929</v>
      </c>
      <c r="AE169">
        <v>20152.171999999999</v>
      </c>
      <c r="AF169">
        <v>20156.664000000001</v>
      </c>
      <c r="AG169">
        <v>19957.912</v>
      </c>
      <c r="AH169">
        <v>20157.085999999999</v>
      </c>
      <c r="AI169">
        <v>19982.162</v>
      </c>
      <c r="AJ169">
        <v>19257.489000000001</v>
      </c>
      <c r="AK169">
        <v>19964.079000000002</v>
      </c>
      <c r="AL169">
        <v>19484.053</v>
      </c>
      <c r="AM169">
        <v>19408.246999999999</v>
      </c>
      <c r="AN169">
        <v>18461.353999999999</v>
      </c>
      <c r="AO169">
        <v>17946.612000000001</v>
      </c>
      <c r="AP169">
        <v>17866.702000000001</v>
      </c>
      <c r="AQ169">
        <v>18179.499</v>
      </c>
      <c r="AR169">
        <v>18645.18</v>
      </c>
      <c r="AS169">
        <v>19023.800999999999</v>
      </c>
      <c r="AT169">
        <v>18638.577000000001</v>
      </c>
      <c r="AU169">
        <v>18649.473999999998</v>
      </c>
      <c r="AV169">
        <v>18476.127</v>
      </c>
      <c r="AW169">
        <v>18395.395</v>
      </c>
      <c r="AX169">
        <v>15977.601000000001</v>
      </c>
      <c r="AY169">
        <v>19871.34</v>
      </c>
      <c r="AZ169">
        <v>16416.563999999998</v>
      </c>
      <c r="BA169">
        <v>17054.381000000001</v>
      </c>
      <c r="BB169">
        <v>18343.530999999999</v>
      </c>
      <c r="BC169">
        <v>20256.066999999999</v>
      </c>
      <c r="BD169">
        <v>21082.25</v>
      </c>
      <c r="BE169">
        <v>21695.455999999998</v>
      </c>
      <c r="BF169">
        <v>22137.342000000001</v>
      </c>
      <c r="BG169">
        <v>20891.615000000002</v>
      </c>
      <c r="BH169">
        <v>21776.703000000001</v>
      </c>
      <c r="BI169">
        <v>22552.112000000001</v>
      </c>
      <c r="BJ169">
        <v>20534.542000000001</v>
      </c>
      <c r="BK169">
        <v>19260.206999999999</v>
      </c>
      <c r="BL169">
        <v>25607.01</v>
      </c>
      <c r="BM169">
        <v>26698.536</v>
      </c>
      <c r="BN169" t="str">
        <f>""</f>
        <v/>
      </c>
      <c r="BO169" t="str">
        <f>""</f>
        <v/>
      </c>
      <c r="BP169" t="str">
        <f>""</f>
        <v/>
      </c>
      <c r="BQ169" t="str">
        <f>""</f>
        <v/>
      </c>
      <c r="BR169" t="str">
        <f>""</f>
        <v/>
      </c>
      <c r="BS169" t="str">
        <f>""</f>
        <v/>
      </c>
      <c r="BT169" t="str">
        <f>""</f>
        <v/>
      </c>
      <c r="BU169" t="str">
        <f>""</f>
        <v/>
      </c>
      <c r="BV169" t="str">
        <f>""</f>
        <v/>
      </c>
      <c r="BW169" t="str">
        <f>""</f>
        <v/>
      </c>
      <c r="BX169" t="str">
        <f>""</f>
        <v/>
      </c>
      <c r="BY169" t="str">
        <f>""</f>
        <v/>
      </c>
      <c r="BZ169" t="str">
        <f>""</f>
        <v/>
      </c>
      <c r="CA169" t="str">
        <f>""</f>
        <v/>
      </c>
      <c r="CB169" t="str">
        <f>""</f>
        <v/>
      </c>
      <c r="CC169" t="str">
        <f>""</f>
        <v/>
      </c>
      <c r="CD169" t="str">
        <f>""</f>
        <v/>
      </c>
      <c r="CE169" t="str">
        <f>""</f>
        <v/>
      </c>
      <c r="CF169" t="str">
        <f>""</f>
        <v/>
      </c>
      <c r="CG169" t="str">
        <f>""</f>
        <v/>
      </c>
      <c r="CH169" t="str">
        <f>""</f>
        <v/>
      </c>
      <c r="CI169" t="str">
        <f>""</f>
        <v/>
      </c>
      <c r="CJ169" t="str">
        <f>""</f>
        <v/>
      </c>
      <c r="CK169" t="str">
        <f>""</f>
        <v/>
      </c>
      <c r="CL169" t="str">
        <f>""</f>
        <v/>
      </c>
      <c r="CM169" t="str">
        <f>""</f>
        <v/>
      </c>
      <c r="CN169" t="str">
        <f>""</f>
        <v/>
      </c>
      <c r="CO169" t="str">
        <f>""</f>
        <v/>
      </c>
      <c r="CP169" t="str">
        <f>""</f>
        <v/>
      </c>
      <c r="CQ169" t="str">
        <f>""</f>
        <v/>
      </c>
      <c r="CR169" t="str">
        <f>""</f>
        <v/>
      </c>
      <c r="CS169" t="str">
        <f>""</f>
        <v/>
      </c>
      <c r="CT169" t="str">
        <f>""</f>
        <v/>
      </c>
      <c r="CU169" t="str">
        <f>""</f>
        <v/>
      </c>
      <c r="CV169" t="str">
        <f>""</f>
        <v/>
      </c>
      <c r="CW169" t="str">
        <f>""</f>
        <v/>
      </c>
      <c r="CX169" t="str">
        <f>""</f>
        <v/>
      </c>
      <c r="CY169" t="str">
        <f>""</f>
        <v/>
      </c>
      <c r="CZ169" t="str">
        <f>""</f>
        <v/>
      </c>
      <c r="DA169" t="str">
        <f>""</f>
        <v/>
      </c>
      <c r="DB169" t="str">
        <f>""</f>
        <v/>
      </c>
      <c r="DC169" t="str">
        <f>""</f>
        <v/>
      </c>
      <c r="DD169" t="str">
        <f>""</f>
        <v/>
      </c>
      <c r="DE169" t="str">
        <f>""</f>
        <v/>
      </c>
      <c r="DF169" t="str">
        <f>""</f>
        <v/>
      </c>
      <c r="DG169" t="str">
        <f>""</f>
        <v/>
      </c>
      <c r="DH169" t="str">
        <f>""</f>
        <v/>
      </c>
      <c r="DI169" t="str">
        <f>""</f>
        <v/>
      </c>
      <c r="DJ169" t="str">
        <f>""</f>
        <v/>
      </c>
      <c r="DK169" t="str">
        <f>""</f>
        <v/>
      </c>
      <c r="DL169" t="str">
        <f>""</f>
        <v/>
      </c>
      <c r="DM169" t="str">
        <f>""</f>
        <v/>
      </c>
      <c r="DN169" t="str">
        <f>""</f>
        <v/>
      </c>
      <c r="DO169" t="str">
        <f>""</f>
        <v/>
      </c>
      <c r="DP169" t="str">
        <f>""</f>
        <v/>
      </c>
      <c r="DQ169" t="str">
        <f>""</f>
        <v/>
      </c>
      <c r="DR169" t="str">
        <f>""</f>
        <v/>
      </c>
      <c r="DS169" t="str">
        <f>""</f>
        <v/>
      </c>
      <c r="DT169" t="str">
        <f>""</f>
        <v/>
      </c>
      <c r="DU169" t="str">
        <f>""</f>
        <v/>
      </c>
    </row>
    <row r="170" spans="1:125" x14ac:dyDescent="0.25">
      <c r="A170" t="str">
        <f>$A$29</f>
        <v xml:space="preserve">                Capital One Financial Corp</v>
      </c>
      <c r="B170" t="str">
        <f>$B$29</f>
        <v>COF US Equity</v>
      </c>
      <c r="C170" t="str">
        <f>$C$29</f>
        <v>FC471</v>
      </c>
      <c r="D170" t="str">
        <f>$D$29</f>
        <v>FDIC_SECS_AVAIL_FOR_SALE_MKT_VAL</v>
      </c>
      <c r="E170" t="str">
        <f>$E$29</f>
        <v>Dynamic</v>
      </c>
      <c r="F170">
        <f ca="1">_xll.BDH($B$29,$C$29,$B$143,$B$144,CONCATENATE("Per=",$B$141),"Dts=H","Dir=H",CONCATENATE("Points=",$B$142),"Sort=R","Days=A","Fill=B",CONCATENATE("FX=", $B$140),"cols=60;rows=1")</f>
        <v>83013.192999999999</v>
      </c>
      <c r="G170">
        <v>83500.428</v>
      </c>
      <c r="H170">
        <v>79250.093999999997</v>
      </c>
      <c r="I170">
        <v>78397.607000000004</v>
      </c>
      <c r="J170">
        <v>79116.904999999999</v>
      </c>
      <c r="K170">
        <v>74837.17</v>
      </c>
      <c r="L170">
        <v>78411.740999999995</v>
      </c>
      <c r="M170">
        <v>81925.274000000005</v>
      </c>
      <c r="N170">
        <v>76918.626999999993</v>
      </c>
      <c r="O170">
        <v>75302.820999999996</v>
      </c>
      <c r="P170">
        <v>83022.126999999993</v>
      </c>
      <c r="Q170">
        <v>89076.012000000002</v>
      </c>
      <c r="R170">
        <v>95260.739000000001</v>
      </c>
      <c r="S170">
        <v>98148.701000000001</v>
      </c>
      <c r="T170">
        <v>101765.87699999999</v>
      </c>
      <c r="U170">
        <v>99165.066999999995</v>
      </c>
      <c r="V170">
        <v>100444.936</v>
      </c>
      <c r="W170">
        <v>99852.72</v>
      </c>
      <c r="X170">
        <v>87858.527000000002</v>
      </c>
      <c r="Y170">
        <v>81423.326000000001</v>
      </c>
      <c r="Z170">
        <v>79213.357999999993</v>
      </c>
      <c r="AA170">
        <v>46217.607000000004</v>
      </c>
      <c r="AB170">
        <v>45657.904000000002</v>
      </c>
      <c r="AC170">
        <v>45888.267</v>
      </c>
      <c r="AD170">
        <v>46149.624000000003</v>
      </c>
      <c r="AE170">
        <v>47384.35</v>
      </c>
      <c r="AF170">
        <v>50691.188999999998</v>
      </c>
      <c r="AG170">
        <v>47152.796999999999</v>
      </c>
      <c r="AH170">
        <v>37758.336000000003</v>
      </c>
      <c r="AI170">
        <v>39811.587</v>
      </c>
      <c r="AJ170">
        <v>41186.620000000003</v>
      </c>
      <c r="AK170">
        <v>41322.82</v>
      </c>
      <c r="AL170">
        <v>40799.824000000001</v>
      </c>
      <c r="AM170">
        <v>41567.010999999999</v>
      </c>
      <c r="AN170">
        <v>39958.779000000002</v>
      </c>
      <c r="AO170">
        <v>40090.521000000001</v>
      </c>
      <c r="AP170">
        <v>39059.531000000003</v>
      </c>
      <c r="AQ170">
        <v>39430.760999999999</v>
      </c>
      <c r="AR170">
        <v>39135.025999999998</v>
      </c>
      <c r="AS170">
        <v>39319.163</v>
      </c>
      <c r="AT170">
        <v>39506.811999999998</v>
      </c>
      <c r="AU170">
        <v>39663.669000000002</v>
      </c>
      <c r="AV170">
        <v>41111.17</v>
      </c>
      <c r="AW170">
        <v>40718.781000000003</v>
      </c>
      <c r="AX170">
        <v>41797.987999999998</v>
      </c>
      <c r="AY170">
        <v>43130.841999999997</v>
      </c>
      <c r="AZ170">
        <v>62600.260999999999</v>
      </c>
      <c r="BA170">
        <v>64117.466</v>
      </c>
      <c r="BB170">
        <v>64062.396999999997</v>
      </c>
      <c r="BC170">
        <v>61575.953999999998</v>
      </c>
      <c r="BD170">
        <v>55397.64</v>
      </c>
      <c r="BE170">
        <v>60881.072</v>
      </c>
      <c r="BF170">
        <v>38751.586000000003</v>
      </c>
      <c r="BG170">
        <v>38537.264999999999</v>
      </c>
      <c r="BH170">
        <v>39467.294999999998</v>
      </c>
      <c r="BI170">
        <v>41559.788999999997</v>
      </c>
      <c r="BJ170">
        <v>41530.574000000001</v>
      </c>
      <c r="BK170">
        <v>40074.542999999998</v>
      </c>
      <c r="BL170">
        <v>39566.559000000001</v>
      </c>
      <c r="BM170">
        <v>38244.366000000002</v>
      </c>
      <c r="BN170" t="str">
        <f>""</f>
        <v/>
      </c>
      <c r="BO170" t="str">
        <f>""</f>
        <v/>
      </c>
      <c r="BP170" t="str">
        <f>""</f>
        <v/>
      </c>
      <c r="BQ170" t="str">
        <f>""</f>
        <v/>
      </c>
      <c r="BR170" t="str">
        <f>""</f>
        <v/>
      </c>
      <c r="BS170" t="str">
        <f>""</f>
        <v/>
      </c>
      <c r="BT170" t="str">
        <f>""</f>
        <v/>
      </c>
      <c r="BU170" t="str">
        <f>""</f>
        <v/>
      </c>
      <c r="BV170" t="str">
        <f>""</f>
        <v/>
      </c>
      <c r="BW170" t="str">
        <f>""</f>
        <v/>
      </c>
      <c r="BX170" t="str">
        <f>""</f>
        <v/>
      </c>
      <c r="BY170" t="str">
        <f>""</f>
        <v/>
      </c>
      <c r="BZ170" t="str">
        <f>""</f>
        <v/>
      </c>
      <c r="CA170" t="str">
        <f>""</f>
        <v/>
      </c>
      <c r="CB170" t="str">
        <f>""</f>
        <v/>
      </c>
      <c r="CC170" t="str">
        <f>""</f>
        <v/>
      </c>
      <c r="CD170" t="str">
        <f>""</f>
        <v/>
      </c>
      <c r="CE170" t="str">
        <f>""</f>
        <v/>
      </c>
      <c r="CF170" t="str">
        <f>""</f>
        <v/>
      </c>
      <c r="CG170" t="str">
        <f>""</f>
        <v/>
      </c>
      <c r="CH170" t="str">
        <f>""</f>
        <v/>
      </c>
      <c r="CI170" t="str">
        <f>""</f>
        <v/>
      </c>
      <c r="CJ170" t="str">
        <f>""</f>
        <v/>
      </c>
      <c r="CK170" t="str">
        <f>""</f>
        <v/>
      </c>
      <c r="CL170" t="str">
        <f>""</f>
        <v/>
      </c>
      <c r="CM170" t="str">
        <f>""</f>
        <v/>
      </c>
      <c r="CN170" t="str">
        <f>""</f>
        <v/>
      </c>
      <c r="CO170" t="str">
        <f>""</f>
        <v/>
      </c>
      <c r="CP170" t="str">
        <f>""</f>
        <v/>
      </c>
      <c r="CQ170" t="str">
        <f>""</f>
        <v/>
      </c>
      <c r="CR170" t="str">
        <f>""</f>
        <v/>
      </c>
      <c r="CS170" t="str">
        <f>""</f>
        <v/>
      </c>
      <c r="CT170" t="str">
        <f>""</f>
        <v/>
      </c>
      <c r="CU170" t="str">
        <f>""</f>
        <v/>
      </c>
      <c r="CV170" t="str">
        <f>""</f>
        <v/>
      </c>
      <c r="CW170" t="str">
        <f>""</f>
        <v/>
      </c>
      <c r="CX170" t="str">
        <f>""</f>
        <v/>
      </c>
      <c r="CY170" t="str">
        <f>""</f>
        <v/>
      </c>
      <c r="CZ170" t="str">
        <f>""</f>
        <v/>
      </c>
      <c r="DA170" t="str">
        <f>""</f>
        <v/>
      </c>
      <c r="DB170" t="str">
        <f>""</f>
        <v/>
      </c>
      <c r="DC170" t="str">
        <f>""</f>
        <v/>
      </c>
      <c r="DD170" t="str">
        <f>""</f>
        <v/>
      </c>
      <c r="DE170" t="str">
        <f>""</f>
        <v/>
      </c>
      <c r="DF170" t="str">
        <f>""</f>
        <v/>
      </c>
      <c r="DG170" t="str">
        <f>""</f>
        <v/>
      </c>
      <c r="DH170" t="str">
        <f>""</f>
        <v/>
      </c>
      <c r="DI170" t="str">
        <f>""</f>
        <v/>
      </c>
      <c r="DJ170" t="str">
        <f>""</f>
        <v/>
      </c>
      <c r="DK170" t="str">
        <f>""</f>
        <v/>
      </c>
      <c r="DL170" t="str">
        <f>""</f>
        <v/>
      </c>
      <c r="DM170" t="str">
        <f>""</f>
        <v/>
      </c>
      <c r="DN170" t="str">
        <f>""</f>
        <v/>
      </c>
      <c r="DO170" t="str">
        <f>""</f>
        <v/>
      </c>
      <c r="DP170" t="str">
        <f>""</f>
        <v/>
      </c>
      <c r="DQ170" t="str">
        <f>""</f>
        <v/>
      </c>
      <c r="DR170" t="str">
        <f>""</f>
        <v/>
      </c>
      <c r="DS170" t="str">
        <f>""</f>
        <v/>
      </c>
      <c r="DT170" t="str">
        <f>""</f>
        <v/>
      </c>
      <c r="DU170" t="str">
        <f>""</f>
        <v/>
      </c>
    </row>
    <row r="171" spans="1:125" x14ac:dyDescent="0.25">
      <c r="A171" t="str">
        <f>$A$30</f>
        <v xml:space="preserve">                Comerica Inc</v>
      </c>
      <c r="B171" t="str">
        <f>$B$30</f>
        <v>CMA US Equity</v>
      </c>
      <c r="C171" t="str">
        <f>$C$30</f>
        <v>FC471</v>
      </c>
      <c r="D171" t="str">
        <f>$D$30</f>
        <v>FDIC_SECS_AVAIL_FOR_SALE_MKT_VAL</v>
      </c>
      <c r="E171" t="str">
        <f>$E$30</f>
        <v>Dynamic</v>
      </c>
      <c r="F171">
        <f ca="1">_xll.BDH($B$30,$C$30,$B$143,$B$144,CONCATENATE("Per=",$B$141),"Dts=H","Dir=H",CONCATENATE("Points=",$B$142),"Sort=R","Days=A","Fill=B",CONCATENATE("FX=", $B$140),"cols=60;rows=1")</f>
        <v>15045</v>
      </c>
      <c r="G171">
        <v>15886</v>
      </c>
      <c r="H171">
        <v>15656</v>
      </c>
      <c r="I171">
        <v>16245</v>
      </c>
      <c r="J171">
        <v>16869</v>
      </c>
      <c r="K171">
        <v>16323</v>
      </c>
      <c r="L171">
        <v>17415</v>
      </c>
      <c r="M171">
        <v>18295</v>
      </c>
      <c r="N171">
        <v>19012</v>
      </c>
      <c r="O171">
        <v>19452</v>
      </c>
      <c r="P171">
        <v>20829</v>
      </c>
      <c r="Q171">
        <v>18810</v>
      </c>
      <c r="R171">
        <v>16986</v>
      </c>
      <c r="S171">
        <v>16846</v>
      </c>
      <c r="T171">
        <v>15837</v>
      </c>
      <c r="U171">
        <v>15595</v>
      </c>
      <c r="V171">
        <v>15028</v>
      </c>
      <c r="W171">
        <v>15090</v>
      </c>
      <c r="X171">
        <v>12759</v>
      </c>
      <c r="Y171">
        <v>13041</v>
      </c>
      <c r="Z171">
        <v>12398</v>
      </c>
      <c r="AA171">
        <v>12429</v>
      </c>
      <c r="AB171">
        <v>12338</v>
      </c>
      <c r="AC171">
        <v>12212</v>
      </c>
      <c r="AD171">
        <v>12044.833000000001</v>
      </c>
      <c r="AE171">
        <v>11861.661</v>
      </c>
      <c r="AF171">
        <v>11914.86</v>
      </c>
      <c r="AG171">
        <v>11971.115</v>
      </c>
      <c r="AH171">
        <v>10937.888000000001</v>
      </c>
      <c r="AI171">
        <v>10997.633</v>
      </c>
      <c r="AJ171">
        <v>10943.887000000001</v>
      </c>
      <c r="AK171">
        <v>10829.814</v>
      </c>
      <c r="AL171">
        <v>10786.535</v>
      </c>
      <c r="AM171">
        <v>10789.261</v>
      </c>
      <c r="AN171">
        <v>10711.936</v>
      </c>
      <c r="AO171">
        <v>10606.41</v>
      </c>
      <c r="AP171">
        <v>10519.111999999999</v>
      </c>
      <c r="AQ171">
        <v>8748.6440000000002</v>
      </c>
      <c r="AR171">
        <v>8267.4249999999993</v>
      </c>
      <c r="AS171">
        <v>8213.6129999999994</v>
      </c>
      <c r="AT171">
        <v>8115.7839999999997</v>
      </c>
      <c r="AU171">
        <v>9468.4770000000008</v>
      </c>
      <c r="AV171">
        <v>9534.2690000000002</v>
      </c>
      <c r="AW171">
        <v>9486.9150000000009</v>
      </c>
      <c r="AX171">
        <v>9306.8240000000005</v>
      </c>
      <c r="AY171">
        <v>9487.8070000000007</v>
      </c>
      <c r="AZ171">
        <v>9630.8960000000006</v>
      </c>
      <c r="BA171">
        <v>10285.710999999999</v>
      </c>
      <c r="BB171">
        <v>10296.532999999999</v>
      </c>
      <c r="BC171">
        <v>10569.708000000001</v>
      </c>
      <c r="BD171">
        <v>9939.7080000000005</v>
      </c>
      <c r="BE171">
        <v>10060.642</v>
      </c>
      <c r="BF171">
        <v>10103.412</v>
      </c>
      <c r="BG171">
        <v>9731.9220000000005</v>
      </c>
      <c r="BH171">
        <v>7536.5240000000003</v>
      </c>
      <c r="BI171">
        <v>7405.942</v>
      </c>
      <c r="BJ171">
        <v>7559.9589999999998</v>
      </c>
      <c r="BK171">
        <v>6816.02</v>
      </c>
      <c r="BL171">
        <v>7187.9480000000003</v>
      </c>
      <c r="BM171">
        <v>7346.2870000000003</v>
      </c>
      <c r="BN171" t="str">
        <f>""</f>
        <v/>
      </c>
      <c r="BO171" t="str">
        <f>""</f>
        <v/>
      </c>
      <c r="BP171" t="str">
        <f>""</f>
        <v/>
      </c>
      <c r="BQ171" t="str">
        <f>""</f>
        <v/>
      </c>
      <c r="BR171" t="str">
        <f>""</f>
        <v/>
      </c>
      <c r="BS171" t="str">
        <f>""</f>
        <v/>
      </c>
      <c r="BT171" t="str">
        <f>""</f>
        <v/>
      </c>
      <c r="BU171" t="str">
        <f>""</f>
        <v/>
      </c>
      <c r="BV171" t="str">
        <f>""</f>
        <v/>
      </c>
      <c r="BW171" t="str">
        <f>""</f>
        <v/>
      </c>
      <c r="BX171" t="str">
        <f>""</f>
        <v/>
      </c>
      <c r="BY171" t="str">
        <f>""</f>
        <v/>
      </c>
      <c r="BZ171" t="str">
        <f>""</f>
        <v/>
      </c>
      <c r="CA171" t="str">
        <f>""</f>
        <v/>
      </c>
      <c r="CB171" t="str">
        <f>""</f>
        <v/>
      </c>
      <c r="CC171" t="str">
        <f>""</f>
        <v/>
      </c>
      <c r="CD171" t="str">
        <f>""</f>
        <v/>
      </c>
      <c r="CE171" t="str">
        <f>""</f>
        <v/>
      </c>
      <c r="CF171" t="str">
        <f>""</f>
        <v/>
      </c>
      <c r="CG171" t="str">
        <f>""</f>
        <v/>
      </c>
      <c r="CH171" t="str">
        <f>""</f>
        <v/>
      </c>
      <c r="CI171" t="str">
        <f>""</f>
        <v/>
      </c>
      <c r="CJ171" t="str">
        <f>""</f>
        <v/>
      </c>
      <c r="CK171" t="str">
        <f>""</f>
        <v/>
      </c>
      <c r="CL171" t="str">
        <f>""</f>
        <v/>
      </c>
      <c r="CM171" t="str">
        <f>""</f>
        <v/>
      </c>
      <c r="CN171" t="str">
        <f>""</f>
        <v/>
      </c>
      <c r="CO171" t="str">
        <f>""</f>
        <v/>
      </c>
      <c r="CP171" t="str">
        <f>""</f>
        <v/>
      </c>
      <c r="CQ171" t="str">
        <f>""</f>
        <v/>
      </c>
      <c r="CR171" t="str">
        <f>""</f>
        <v/>
      </c>
      <c r="CS171" t="str">
        <f>""</f>
        <v/>
      </c>
      <c r="CT171" t="str">
        <f>""</f>
        <v/>
      </c>
      <c r="CU171" t="str">
        <f>""</f>
        <v/>
      </c>
      <c r="CV171" t="str">
        <f>""</f>
        <v/>
      </c>
      <c r="CW171" t="str">
        <f>""</f>
        <v/>
      </c>
      <c r="CX171" t="str">
        <f>""</f>
        <v/>
      </c>
      <c r="CY171" t="str">
        <f>""</f>
        <v/>
      </c>
      <c r="CZ171" t="str">
        <f>""</f>
        <v/>
      </c>
      <c r="DA171" t="str">
        <f>""</f>
        <v/>
      </c>
      <c r="DB171" t="str">
        <f>""</f>
        <v/>
      </c>
      <c r="DC171" t="str">
        <f>""</f>
        <v/>
      </c>
      <c r="DD171" t="str">
        <f>""</f>
        <v/>
      </c>
      <c r="DE171" t="str">
        <f>""</f>
        <v/>
      </c>
      <c r="DF171" t="str">
        <f>""</f>
        <v/>
      </c>
      <c r="DG171" t="str">
        <f>""</f>
        <v/>
      </c>
      <c r="DH171" t="str">
        <f>""</f>
        <v/>
      </c>
      <c r="DI171" t="str">
        <f>""</f>
        <v/>
      </c>
      <c r="DJ171" t="str">
        <f>""</f>
        <v/>
      </c>
      <c r="DK171" t="str">
        <f>""</f>
        <v/>
      </c>
      <c r="DL171" t="str">
        <f>""</f>
        <v/>
      </c>
      <c r="DM171" t="str">
        <f>""</f>
        <v/>
      </c>
      <c r="DN171" t="str">
        <f>""</f>
        <v/>
      </c>
      <c r="DO171" t="str">
        <f>""</f>
        <v/>
      </c>
      <c r="DP171" t="str">
        <f>""</f>
        <v/>
      </c>
      <c r="DQ171" t="str">
        <f>""</f>
        <v/>
      </c>
      <c r="DR171" t="str">
        <f>""</f>
        <v/>
      </c>
      <c r="DS171" t="str">
        <f>""</f>
        <v/>
      </c>
      <c r="DT171" t="str">
        <f>""</f>
        <v/>
      </c>
      <c r="DU171" t="str">
        <f>""</f>
        <v/>
      </c>
    </row>
    <row r="172" spans="1:125" x14ac:dyDescent="0.25">
      <c r="A172" t="str">
        <f>$A$31</f>
        <v xml:space="preserve">                East West Bancorp Inc</v>
      </c>
      <c r="B172" t="str">
        <f>$B$31</f>
        <v>EWBC US Equity</v>
      </c>
      <c r="C172" t="str">
        <f>$C$31</f>
        <v>FC471</v>
      </c>
      <c r="D172" t="str">
        <f>$D$31</f>
        <v>FDIC_SECS_AVAIL_FOR_SALE_MKT_VAL</v>
      </c>
      <c r="E172" t="str">
        <f>$E$31</f>
        <v>Dynamic</v>
      </c>
      <c r="F172">
        <f ca="1">_xll.BDH($B$31,$C$31,$B$143,$B$144,CONCATENATE("Per=",$B$141),"Dts=H","Dir=H",CONCATENATE("Points=",$B$142),"Sort=R","Days=A","Fill=B",CONCATENATE("FX=", $B$140),"cols=60;rows=1")</f>
        <v>10846.811</v>
      </c>
      <c r="G172">
        <v>10133.877</v>
      </c>
      <c r="H172">
        <v>8923.5280000000002</v>
      </c>
      <c r="I172">
        <v>8400.4680000000008</v>
      </c>
      <c r="J172">
        <v>6188.3370000000004</v>
      </c>
      <c r="K172">
        <v>6039.8370000000004</v>
      </c>
      <c r="L172">
        <v>5987.2579999999998</v>
      </c>
      <c r="M172">
        <v>6300.8680000000004</v>
      </c>
      <c r="N172">
        <v>6034.9930000000004</v>
      </c>
      <c r="O172">
        <v>5906.09</v>
      </c>
      <c r="P172">
        <v>6255.5039999999999</v>
      </c>
      <c r="Q172">
        <v>6729.4309999999996</v>
      </c>
      <c r="R172">
        <v>9965.3529999999992</v>
      </c>
      <c r="S172">
        <v>9713.0059999999994</v>
      </c>
      <c r="T172">
        <v>8399.4599999999991</v>
      </c>
      <c r="U172">
        <v>7789.2129999999997</v>
      </c>
      <c r="V172">
        <v>5544.6580000000004</v>
      </c>
      <c r="W172">
        <v>4539.16</v>
      </c>
      <c r="X172">
        <v>3884.5740000000001</v>
      </c>
      <c r="Y172">
        <v>3695.9430000000002</v>
      </c>
      <c r="Z172">
        <v>3317.2139999999999</v>
      </c>
      <c r="AA172">
        <v>3284.0340000000001</v>
      </c>
      <c r="AB172">
        <v>2592.913</v>
      </c>
      <c r="AC172">
        <v>2640.1579999999999</v>
      </c>
      <c r="AD172">
        <v>2741.8470000000002</v>
      </c>
      <c r="AE172">
        <v>2676.51</v>
      </c>
      <c r="AF172">
        <v>2707.444</v>
      </c>
      <c r="AG172">
        <v>2811.4160000000002</v>
      </c>
      <c r="AH172">
        <v>3016.752</v>
      </c>
      <c r="AI172">
        <v>2956.7759999999998</v>
      </c>
      <c r="AJ172">
        <v>2822.7249999999999</v>
      </c>
      <c r="AK172">
        <v>2962.0340000000001</v>
      </c>
      <c r="AL172">
        <v>3335.7950000000001</v>
      </c>
      <c r="AM172">
        <v>3236.6239999999998</v>
      </c>
      <c r="AN172">
        <v>3240.3319999999999</v>
      </c>
      <c r="AO172">
        <v>3205.2379999999998</v>
      </c>
      <c r="AP172">
        <v>3773.2260000000001</v>
      </c>
      <c r="AQ172">
        <v>2952.277</v>
      </c>
      <c r="AR172">
        <v>2982.1460000000002</v>
      </c>
      <c r="AS172">
        <v>2841.085</v>
      </c>
      <c r="AT172">
        <v>2618.8510000000001</v>
      </c>
      <c r="AU172">
        <v>2585.145</v>
      </c>
      <c r="AV172">
        <v>2528.71</v>
      </c>
      <c r="AW172">
        <v>2473.7570000000001</v>
      </c>
      <c r="AX172">
        <v>2734.4</v>
      </c>
      <c r="AY172">
        <v>2894.3760000000002</v>
      </c>
      <c r="AZ172">
        <v>2670.0990000000002</v>
      </c>
      <c r="BA172">
        <v>2602.0520000000001</v>
      </c>
      <c r="BB172">
        <v>2610.556</v>
      </c>
      <c r="BC172">
        <v>2291.52</v>
      </c>
      <c r="BD172">
        <v>1955.0650000000001</v>
      </c>
      <c r="BE172">
        <v>2716.2849999999999</v>
      </c>
      <c r="BF172">
        <v>3073.201</v>
      </c>
      <c r="BG172">
        <v>3282.7809999999999</v>
      </c>
      <c r="BH172">
        <v>3209.41</v>
      </c>
      <c r="BI172">
        <v>3123.375</v>
      </c>
      <c r="BJ172">
        <v>2890.9490000000001</v>
      </c>
      <c r="BK172">
        <v>2908.127</v>
      </c>
      <c r="BL172">
        <v>2127.5590000000002</v>
      </c>
      <c r="BM172">
        <v>2191.527</v>
      </c>
      <c r="BN172" t="str">
        <f>""</f>
        <v/>
      </c>
      <c r="BO172" t="str">
        <f>""</f>
        <v/>
      </c>
      <c r="BP172" t="str">
        <f>""</f>
        <v/>
      </c>
      <c r="BQ172" t="str">
        <f>""</f>
        <v/>
      </c>
      <c r="BR172" t="str">
        <f>""</f>
        <v/>
      </c>
      <c r="BS172" t="str">
        <f>""</f>
        <v/>
      </c>
      <c r="BT172" t="str">
        <f>""</f>
        <v/>
      </c>
      <c r="BU172" t="str">
        <f>""</f>
        <v/>
      </c>
      <c r="BV172" t="str">
        <f>""</f>
        <v/>
      </c>
      <c r="BW172" t="str">
        <f>""</f>
        <v/>
      </c>
      <c r="BX172" t="str">
        <f>""</f>
        <v/>
      </c>
      <c r="BY172" t="str">
        <f>""</f>
        <v/>
      </c>
      <c r="BZ172" t="str">
        <f>""</f>
        <v/>
      </c>
      <c r="CA172" t="str">
        <f>""</f>
        <v/>
      </c>
      <c r="CB172" t="str">
        <f>""</f>
        <v/>
      </c>
      <c r="CC172" t="str">
        <f>""</f>
        <v/>
      </c>
      <c r="CD172" t="str">
        <f>""</f>
        <v/>
      </c>
      <c r="CE172" t="str">
        <f>""</f>
        <v/>
      </c>
      <c r="CF172" t="str">
        <f>""</f>
        <v/>
      </c>
      <c r="CG172" t="str">
        <f>""</f>
        <v/>
      </c>
      <c r="CH172" t="str">
        <f>""</f>
        <v/>
      </c>
      <c r="CI172" t="str">
        <f>""</f>
        <v/>
      </c>
      <c r="CJ172" t="str">
        <f>""</f>
        <v/>
      </c>
      <c r="CK172" t="str">
        <f>""</f>
        <v/>
      </c>
      <c r="CL172" t="str">
        <f>""</f>
        <v/>
      </c>
      <c r="CM172" t="str">
        <f>""</f>
        <v/>
      </c>
      <c r="CN172" t="str">
        <f>""</f>
        <v/>
      </c>
      <c r="CO172" t="str">
        <f>""</f>
        <v/>
      </c>
      <c r="CP172" t="str">
        <f>""</f>
        <v/>
      </c>
      <c r="CQ172" t="str">
        <f>""</f>
        <v/>
      </c>
      <c r="CR172" t="str">
        <f>""</f>
        <v/>
      </c>
      <c r="CS172" t="str">
        <f>""</f>
        <v/>
      </c>
      <c r="CT172" t="str">
        <f>""</f>
        <v/>
      </c>
      <c r="CU172" t="str">
        <f>""</f>
        <v/>
      </c>
      <c r="CV172" t="str">
        <f>""</f>
        <v/>
      </c>
      <c r="CW172" t="str">
        <f>""</f>
        <v/>
      </c>
      <c r="CX172" t="str">
        <f>""</f>
        <v/>
      </c>
      <c r="CY172" t="str">
        <f>""</f>
        <v/>
      </c>
      <c r="CZ172" t="str">
        <f>""</f>
        <v/>
      </c>
      <c r="DA172" t="str">
        <f>""</f>
        <v/>
      </c>
      <c r="DB172" t="str">
        <f>""</f>
        <v/>
      </c>
      <c r="DC172" t="str">
        <f>""</f>
        <v/>
      </c>
      <c r="DD172" t="str">
        <f>""</f>
        <v/>
      </c>
      <c r="DE172" t="str">
        <f>""</f>
        <v/>
      </c>
      <c r="DF172" t="str">
        <f>""</f>
        <v/>
      </c>
      <c r="DG172" t="str">
        <f>""</f>
        <v/>
      </c>
      <c r="DH172" t="str">
        <f>""</f>
        <v/>
      </c>
      <c r="DI172" t="str">
        <f>""</f>
        <v/>
      </c>
      <c r="DJ172" t="str">
        <f>""</f>
        <v/>
      </c>
      <c r="DK172" t="str">
        <f>""</f>
        <v/>
      </c>
      <c r="DL172" t="str">
        <f>""</f>
        <v/>
      </c>
      <c r="DM172" t="str">
        <f>""</f>
        <v/>
      </c>
      <c r="DN172" t="str">
        <f>""</f>
        <v/>
      </c>
      <c r="DO172" t="str">
        <f>""</f>
        <v/>
      </c>
      <c r="DP172" t="str">
        <f>""</f>
        <v/>
      </c>
      <c r="DQ172" t="str">
        <f>""</f>
        <v/>
      </c>
      <c r="DR172" t="str">
        <f>""</f>
        <v/>
      </c>
      <c r="DS172" t="str">
        <f>""</f>
        <v/>
      </c>
      <c r="DT172" t="str">
        <f>""</f>
        <v/>
      </c>
      <c r="DU172" t="str">
        <f>""</f>
        <v/>
      </c>
    </row>
    <row r="173" spans="1:125" x14ac:dyDescent="0.25">
      <c r="A173" t="str">
        <f>$A$32</f>
        <v xml:space="preserve">                Fifth Third Bancorp</v>
      </c>
      <c r="B173" t="str">
        <f>$B$32</f>
        <v>FITB US Equity</v>
      </c>
      <c r="C173" t="str">
        <f>$C$32</f>
        <v>FC471</v>
      </c>
      <c r="D173" t="str">
        <f>$D$32</f>
        <v>FDIC_SECS_AVAIL_FOR_SALE_MKT_VAL</v>
      </c>
      <c r="E173" t="str">
        <f>$E$32</f>
        <v>Dynamic</v>
      </c>
      <c r="F173">
        <f ca="1">_xll.BDH($B$32,$C$32,$B$143,$B$144,CONCATENATE("Per=",$B$141),"Dts=H","Dir=H",CONCATENATE("Points=",$B$142),"Sort=R","Days=A","Fill=B",CONCATENATE("FX=", $B$140),"cols=60;rows=1")</f>
        <v>38768</v>
      </c>
      <c r="G173">
        <v>39619</v>
      </c>
      <c r="H173">
        <v>38193</v>
      </c>
      <c r="I173">
        <v>37990</v>
      </c>
      <c r="J173">
        <v>49698</v>
      </c>
      <c r="K173">
        <v>47115</v>
      </c>
      <c r="L173">
        <v>48493</v>
      </c>
      <c r="M173">
        <v>49829</v>
      </c>
      <c r="N173">
        <v>50629.088000000003</v>
      </c>
      <c r="O173">
        <v>50414.911999999997</v>
      </c>
      <c r="P173">
        <v>52031.298000000003</v>
      </c>
      <c r="Q173">
        <v>48313.976000000002</v>
      </c>
      <c r="R173">
        <v>37591.434000000001</v>
      </c>
      <c r="S173">
        <v>37352.347000000002</v>
      </c>
      <c r="T173">
        <v>37492.207000000002</v>
      </c>
      <c r="U173">
        <v>37073.944000000003</v>
      </c>
      <c r="V173">
        <v>36988.781999999999</v>
      </c>
      <c r="W173">
        <v>36894.470999999998</v>
      </c>
      <c r="X173">
        <v>38051.436999999998</v>
      </c>
      <c r="Y173">
        <v>38029.612999999998</v>
      </c>
      <c r="Z173">
        <v>35472.841999999997</v>
      </c>
      <c r="AA173">
        <v>36603.811999999998</v>
      </c>
      <c r="AB173">
        <v>35207.072</v>
      </c>
      <c r="AC173">
        <v>34467.135000000002</v>
      </c>
      <c r="AD173">
        <v>32278.117999999999</v>
      </c>
      <c r="AE173">
        <v>31257.54</v>
      </c>
      <c r="AF173">
        <v>31347.248</v>
      </c>
      <c r="AG173">
        <v>31206.024000000001</v>
      </c>
      <c r="AH173">
        <v>31208.964</v>
      </c>
      <c r="AI173">
        <v>30868.948</v>
      </c>
      <c r="AJ173">
        <v>31212.607</v>
      </c>
      <c r="AK173">
        <v>30922.12</v>
      </c>
      <c r="AL173">
        <v>30575.792000000001</v>
      </c>
      <c r="AM173">
        <v>30082.442999999999</v>
      </c>
      <c r="AN173">
        <v>30848.845000000001</v>
      </c>
      <c r="AO173">
        <v>29285.55</v>
      </c>
      <c r="AP173">
        <v>28439.659</v>
      </c>
      <c r="AQ173">
        <v>28195.366999999998</v>
      </c>
      <c r="AR173">
        <v>27385.704000000002</v>
      </c>
      <c r="AS173">
        <v>25808.400000000001</v>
      </c>
      <c r="AT173">
        <v>21807.300999999999</v>
      </c>
      <c r="AU173">
        <v>22311.741999999998</v>
      </c>
      <c r="AV173">
        <v>22215.5</v>
      </c>
      <c r="AW173">
        <v>20150.698</v>
      </c>
      <c r="AX173">
        <v>17845.746999999999</v>
      </c>
      <c r="AY173">
        <v>17233.511999999999</v>
      </c>
      <c r="AZ173">
        <v>15341.741</v>
      </c>
      <c r="BA173">
        <v>14417.929</v>
      </c>
      <c r="BB173">
        <v>14362.356</v>
      </c>
      <c r="BC173">
        <v>14558.31</v>
      </c>
      <c r="BD173">
        <v>14708.494000000001</v>
      </c>
      <c r="BE173">
        <v>15250.107</v>
      </c>
      <c r="BF173">
        <v>14519.375</v>
      </c>
      <c r="BG173">
        <v>15384.949000000001</v>
      </c>
      <c r="BH173">
        <v>14660.333000000001</v>
      </c>
      <c r="BI173">
        <v>14266.92</v>
      </c>
      <c r="BJ173">
        <v>14546.322</v>
      </c>
      <c r="BK173">
        <v>15081.192999999999</v>
      </c>
      <c r="BL173">
        <v>15127.201999999999</v>
      </c>
      <c r="BM173">
        <v>16041.587</v>
      </c>
      <c r="BN173" t="str">
        <f>""</f>
        <v/>
      </c>
      <c r="BO173" t="str">
        <f>""</f>
        <v/>
      </c>
      <c r="BP173" t="str">
        <f>""</f>
        <v/>
      </c>
      <c r="BQ173" t="str">
        <f>""</f>
        <v/>
      </c>
      <c r="BR173" t="str">
        <f>""</f>
        <v/>
      </c>
      <c r="BS173" t="str">
        <f>""</f>
        <v/>
      </c>
      <c r="BT173" t="str">
        <f>""</f>
        <v/>
      </c>
      <c r="BU173" t="str">
        <f>""</f>
        <v/>
      </c>
      <c r="BV173" t="str">
        <f>""</f>
        <v/>
      </c>
      <c r="BW173" t="str">
        <f>""</f>
        <v/>
      </c>
      <c r="BX173" t="str">
        <f>""</f>
        <v/>
      </c>
      <c r="BY173" t="str">
        <f>""</f>
        <v/>
      </c>
      <c r="BZ173" t="str">
        <f>""</f>
        <v/>
      </c>
      <c r="CA173" t="str">
        <f>""</f>
        <v/>
      </c>
      <c r="CB173" t="str">
        <f>""</f>
        <v/>
      </c>
      <c r="CC173" t="str">
        <f>""</f>
        <v/>
      </c>
      <c r="CD173" t="str">
        <f>""</f>
        <v/>
      </c>
      <c r="CE173" t="str">
        <f>""</f>
        <v/>
      </c>
      <c r="CF173" t="str">
        <f>""</f>
        <v/>
      </c>
      <c r="CG173" t="str">
        <f>""</f>
        <v/>
      </c>
      <c r="CH173" t="str">
        <f>""</f>
        <v/>
      </c>
      <c r="CI173" t="str">
        <f>""</f>
        <v/>
      </c>
      <c r="CJ173" t="str">
        <f>""</f>
        <v/>
      </c>
      <c r="CK173" t="str">
        <f>""</f>
        <v/>
      </c>
      <c r="CL173" t="str">
        <f>""</f>
        <v/>
      </c>
      <c r="CM173" t="str">
        <f>""</f>
        <v/>
      </c>
      <c r="CN173" t="str">
        <f>""</f>
        <v/>
      </c>
      <c r="CO173" t="str">
        <f>""</f>
        <v/>
      </c>
      <c r="CP173" t="str">
        <f>""</f>
        <v/>
      </c>
      <c r="CQ173" t="str">
        <f>""</f>
        <v/>
      </c>
      <c r="CR173" t="str">
        <f>""</f>
        <v/>
      </c>
      <c r="CS173" t="str">
        <f>""</f>
        <v/>
      </c>
      <c r="CT173" t="str">
        <f>""</f>
        <v/>
      </c>
      <c r="CU173" t="str">
        <f>""</f>
        <v/>
      </c>
      <c r="CV173" t="str">
        <f>""</f>
        <v/>
      </c>
      <c r="CW173" t="str">
        <f>""</f>
        <v/>
      </c>
      <c r="CX173" t="str">
        <f>""</f>
        <v/>
      </c>
      <c r="CY173" t="str">
        <f>""</f>
        <v/>
      </c>
      <c r="CZ173" t="str">
        <f>""</f>
        <v/>
      </c>
      <c r="DA173" t="str">
        <f>""</f>
        <v/>
      </c>
      <c r="DB173" t="str">
        <f>""</f>
        <v/>
      </c>
      <c r="DC173" t="str">
        <f>""</f>
        <v/>
      </c>
      <c r="DD173" t="str">
        <f>""</f>
        <v/>
      </c>
      <c r="DE173" t="str">
        <f>""</f>
        <v/>
      </c>
      <c r="DF173" t="str">
        <f>""</f>
        <v/>
      </c>
      <c r="DG173" t="str">
        <f>""</f>
        <v/>
      </c>
      <c r="DH173" t="str">
        <f>""</f>
        <v/>
      </c>
      <c r="DI173" t="str">
        <f>""</f>
        <v/>
      </c>
      <c r="DJ173" t="str">
        <f>""</f>
        <v/>
      </c>
      <c r="DK173" t="str">
        <f>""</f>
        <v/>
      </c>
      <c r="DL173" t="str">
        <f>""</f>
        <v/>
      </c>
      <c r="DM173" t="str">
        <f>""</f>
        <v/>
      </c>
      <c r="DN173" t="str">
        <f>""</f>
        <v/>
      </c>
      <c r="DO173" t="str">
        <f>""</f>
        <v/>
      </c>
      <c r="DP173" t="str">
        <f>""</f>
        <v/>
      </c>
      <c r="DQ173" t="str">
        <f>""</f>
        <v/>
      </c>
      <c r="DR173" t="str">
        <f>""</f>
        <v/>
      </c>
      <c r="DS173" t="str">
        <f>""</f>
        <v/>
      </c>
      <c r="DT173" t="str">
        <f>""</f>
        <v/>
      </c>
      <c r="DU173" t="str">
        <f>""</f>
        <v/>
      </c>
    </row>
    <row r="174" spans="1:125" x14ac:dyDescent="0.25">
      <c r="A174" t="str">
        <f>$A$33</f>
        <v xml:space="preserve">                First Citizens BancShares Inc/</v>
      </c>
      <c r="B174" t="str">
        <f>$B$33</f>
        <v>FCNCA US Equity</v>
      </c>
      <c r="C174" t="str">
        <f>$C$33</f>
        <v>FC471</v>
      </c>
      <c r="D174" t="str">
        <f>$D$33</f>
        <v>FDIC_SECS_AVAIL_FOR_SALE_MKT_VAL</v>
      </c>
      <c r="E174" t="str">
        <f>$E$33</f>
        <v>Dynamic</v>
      </c>
      <c r="F174">
        <f ca="1">_xll.BDH($B$33,$C$33,$B$143,$B$144,CONCATENATE("Per=",$B$141),"Dts=H","Dir=H",CONCATENATE("Points=",$B$142),"Sort=R","Days=A","Fill=B",CONCATENATE("FX=", $B$140),"cols=60;rows=1")</f>
        <v>33751</v>
      </c>
      <c r="G174">
        <v>28190</v>
      </c>
      <c r="H174">
        <v>27053</v>
      </c>
      <c r="I174">
        <v>24915</v>
      </c>
      <c r="J174">
        <v>19935.712</v>
      </c>
      <c r="K174">
        <v>16660.905999999999</v>
      </c>
      <c r="L174">
        <v>11894.233</v>
      </c>
      <c r="M174">
        <v>9061.402</v>
      </c>
      <c r="N174">
        <v>8995.1039999999994</v>
      </c>
      <c r="O174">
        <v>9087.6039999999994</v>
      </c>
      <c r="P174">
        <v>9209.598</v>
      </c>
      <c r="Q174">
        <v>9295.24</v>
      </c>
      <c r="R174">
        <v>9203.4269999999997</v>
      </c>
      <c r="S174">
        <v>7371.1289999999999</v>
      </c>
      <c r="T174">
        <v>7381.0829999999996</v>
      </c>
      <c r="U174">
        <v>7307.1220000000003</v>
      </c>
      <c r="V174">
        <v>7014.2430000000004</v>
      </c>
      <c r="W174">
        <v>9019.7880000000005</v>
      </c>
      <c r="X174">
        <v>8619.2819999999992</v>
      </c>
      <c r="Y174">
        <v>7789.0339999999997</v>
      </c>
      <c r="Z174">
        <v>7059.674</v>
      </c>
      <c r="AA174">
        <v>4904.8829999999998</v>
      </c>
      <c r="AB174">
        <v>4366.0410000000002</v>
      </c>
      <c r="AC174">
        <v>4589.8</v>
      </c>
      <c r="AD174">
        <v>4557.1099999999997</v>
      </c>
      <c r="AE174">
        <v>4677.3509999999997</v>
      </c>
      <c r="AF174">
        <v>4783.5069999999996</v>
      </c>
      <c r="AG174">
        <v>6857.74</v>
      </c>
      <c r="AH174">
        <v>7180.18</v>
      </c>
      <c r="AI174">
        <v>6992.8770000000004</v>
      </c>
      <c r="AJ174">
        <v>6596.45</v>
      </c>
      <c r="AK174">
        <v>7119.8609999999999</v>
      </c>
      <c r="AL174">
        <v>7006.58</v>
      </c>
      <c r="AM174">
        <v>6459.8149999999996</v>
      </c>
      <c r="AN174">
        <v>6632.58</v>
      </c>
      <c r="AO174">
        <v>6762.2889999999998</v>
      </c>
      <c r="AP174">
        <v>6936.2929999999997</v>
      </c>
      <c r="AQ174">
        <v>6765.5780000000004</v>
      </c>
      <c r="AR174">
        <v>7425.1940000000004</v>
      </c>
      <c r="AS174">
        <v>7120.1090000000004</v>
      </c>
      <c r="AT174">
        <v>7246.9170000000004</v>
      </c>
      <c r="AU174">
        <v>5698.0940000000001</v>
      </c>
      <c r="AV174">
        <v>5538.1660000000002</v>
      </c>
      <c r="AW174">
        <v>5676.2370000000001</v>
      </c>
      <c r="AX174">
        <v>5387.7030000000004</v>
      </c>
      <c r="AY174">
        <v>5161.585</v>
      </c>
      <c r="AZ174">
        <v>5184.9750000000004</v>
      </c>
      <c r="BA174">
        <v>5279.6779999999999</v>
      </c>
      <c r="BB174">
        <v>5226.2280000000001</v>
      </c>
      <c r="BC174">
        <v>5012.848</v>
      </c>
      <c r="BD174">
        <v>4634.2479999999996</v>
      </c>
      <c r="BE174">
        <v>4457.7389999999996</v>
      </c>
      <c r="BF174">
        <v>4056.4229999999998</v>
      </c>
      <c r="BG174">
        <v>3994.8249999999998</v>
      </c>
      <c r="BH174">
        <v>4014.241</v>
      </c>
      <c r="BI174">
        <v>4202.0159999999996</v>
      </c>
      <c r="BJ174">
        <v>4510.0770000000002</v>
      </c>
      <c r="BK174">
        <v>3786.6480000000001</v>
      </c>
      <c r="BL174">
        <v>3768.7310000000002</v>
      </c>
      <c r="BM174">
        <v>3375.1579999999999</v>
      </c>
      <c r="BN174" t="str">
        <f>""</f>
        <v/>
      </c>
      <c r="BO174" t="str">
        <f>""</f>
        <v/>
      </c>
      <c r="BP174" t="str">
        <f>""</f>
        <v/>
      </c>
      <c r="BQ174" t="str">
        <f>""</f>
        <v/>
      </c>
      <c r="BR174" t="str">
        <f>""</f>
        <v/>
      </c>
      <c r="BS174" t="str">
        <f>""</f>
        <v/>
      </c>
      <c r="BT174" t="str">
        <f>""</f>
        <v/>
      </c>
      <c r="BU174" t="str">
        <f>""</f>
        <v/>
      </c>
      <c r="BV174" t="str">
        <f>""</f>
        <v/>
      </c>
      <c r="BW174" t="str">
        <f>""</f>
        <v/>
      </c>
      <c r="BX174" t="str">
        <f>""</f>
        <v/>
      </c>
      <c r="BY174" t="str">
        <f>""</f>
        <v/>
      </c>
      <c r="BZ174" t="str">
        <f>""</f>
        <v/>
      </c>
      <c r="CA174" t="str">
        <f>""</f>
        <v/>
      </c>
      <c r="CB174" t="str">
        <f>""</f>
        <v/>
      </c>
      <c r="CC174" t="str">
        <f>""</f>
        <v/>
      </c>
      <c r="CD174" t="str">
        <f>""</f>
        <v/>
      </c>
      <c r="CE174" t="str">
        <f>""</f>
        <v/>
      </c>
      <c r="CF174" t="str">
        <f>""</f>
        <v/>
      </c>
      <c r="CG174" t="str">
        <f>""</f>
        <v/>
      </c>
      <c r="CH174" t="str">
        <f>""</f>
        <v/>
      </c>
      <c r="CI174" t="str">
        <f>""</f>
        <v/>
      </c>
      <c r="CJ174" t="str">
        <f>""</f>
        <v/>
      </c>
      <c r="CK174" t="str">
        <f>""</f>
        <v/>
      </c>
      <c r="CL174" t="str">
        <f>""</f>
        <v/>
      </c>
      <c r="CM174" t="str">
        <f>""</f>
        <v/>
      </c>
      <c r="CN174" t="str">
        <f>""</f>
        <v/>
      </c>
      <c r="CO174" t="str">
        <f>""</f>
        <v/>
      </c>
      <c r="CP174" t="str">
        <f>""</f>
        <v/>
      </c>
      <c r="CQ174" t="str">
        <f>""</f>
        <v/>
      </c>
      <c r="CR174" t="str">
        <f>""</f>
        <v/>
      </c>
      <c r="CS174" t="str">
        <f>""</f>
        <v/>
      </c>
      <c r="CT174" t="str">
        <f>""</f>
        <v/>
      </c>
      <c r="CU174" t="str">
        <f>""</f>
        <v/>
      </c>
      <c r="CV174" t="str">
        <f>""</f>
        <v/>
      </c>
      <c r="CW174" t="str">
        <f>""</f>
        <v/>
      </c>
      <c r="CX174" t="str">
        <f>""</f>
        <v/>
      </c>
      <c r="CY174" t="str">
        <f>""</f>
        <v/>
      </c>
      <c r="CZ174" t="str">
        <f>""</f>
        <v/>
      </c>
      <c r="DA174" t="str">
        <f>""</f>
        <v/>
      </c>
      <c r="DB174" t="str">
        <f>""</f>
        <v/>
      </c>
      <c r="DC174" t="str">
        <f>""</f>
        <v/>
      </c>
      <c r="DD174" t="str">
        <f>""</f>
        <v/>
      </c>
      <c r="DE174" t="str">
        <f>""</f>
        <v/>
      </c>
      <c r="DF174" t="str">
        <f>""</f>
        <v/>
      </c>
      <c r="DG174" t="str">
        <f>""</f>
        <v/>
      </c>
      <c r="DH174" t="str">
        <f>""</f>
        <v/>
      </c>
      <c r="DI174" t="str">
        <f>""</f>
        <v/>
      </c>
      <c r="DJ174" t="str">
        <f>""</f>
        <v/>
      </c>
      <c r="DK174" t="str">
        <f>""</f>
        <v/>
      </c>
      <c r="DL174" t="str">
        <f>""</f>
        <v/>
      </c>
      <c r="DM174" t="str">
        <f>""</f>
        <v/>
      </c>
      <c r="DN174" t="str">
        <f>""</f>
        <v/>
      </c>
      <c r="DO174" t="str">
        <f>""</f>
        <v/>
      </c>
      <c r="DP174" t="str">
        <f>""</f>
        <v/>
      </c>
      <c r="DQ174" t="str">
        <f>""</f>
        <v/>
      </c>
      <c r="DR174" t="str">
        <f>""</f>
        <v/>
      </c>
      <c r="DS174" t="str">
        <f>""</f>
        <v/>
      </c>
      <c r="DT174" t="str">
        <f>""</f>
        <v/>
      </c>
      <c r="DU174" t="str">
        <f>""</f>
        <v/>
      </c>
    </row>
    <row r="175" spans="1:125" x14ac:dyDescent="0.25">
      <c r="A175" t="str">
        <f>$A$34</f>
        <v xml:space="preserve">                Flagstar Financial Inc</v>
      </c>
      <c r="B175" t="str">
        <f>$B$34</f>
        <v>FLG US Equity</v>
      </c>
      <c r="C175" t="str">
        <f>$C$34</f>
        <v>FC471</v>
      </c>
      <c r="D175" t="str">
        <f>$D$34</f>
        <v>FDIC_SECS_AVAIL_FOR_SALE_MKT_VAL</v>
      </c>
      <c r="E175" t="str">
        <f>$E$34</f>
        <v>Dynamic</v>
      </c>
      <c r="F175">
        <f ca="1">_xll.BDH($B$34,$C$34,$B$143,$B$144,CONCATENATE("Per=",$B$141),"Dts=H","Dir=H",CONCATENATE("Points=",$B$142),"Sort=R","Days=A","Fill=B",CONCATENATE("FX=", $B$140),"cols=60;rows=1")</f>
        <v>10401.846</v>
      </c>
      <c r="G175">
        <v>10510.848</v>
      </c>
      <c r="H175">
        <v>10534.596</v>
      </c>
      <c r="I175">
        <v>9336.4789999999994</v>
      </c>
      <c r="J175">
        <v>9144.8559999999998</v>
      </c>
      <c r="K175">
        <v>8722.6350000000002</v>
      </c>
      <c r="L175">
        <v>7778.5609999999997</v>
      </c>
      <c r="M175">
        <v>7599.0450000000001</v>
      </c>
      <c r="N175">
        <v>9059.7389999999996</v>
      </c>
      <c r="O175">
        <v>6689.1559999999999</v>
      </c>
      <c r="P175">
        <v>5663.6270000000004</v>
      </c>
      <c r="Q175">
        <v>5612.0259999999998</v>
      </c>
      <c r="R175">
        <v>5779.97</v>
      </c>
      <c r="S175">
        <v>5898.2129999999997</v>
      </c>
      <c r="T175">
        <v>6077.3180000000002</v>
      </c>
      <c r="U175">
        <v>6177.9049999999997</v>
      </c>
      <c r="V175">
        <v>5813.3329999999996</v>
      </c>
      <c r="W175">
        <v>5233.7439999999997</v>
      </c>
      <c r="X175">
        <v>5168.1819999999998</v>
      </c>
      <c r="Y175">
        <v>5455.2460000000001</v>
      </c>
      <c r="Z175">
        <v>5853.0569999999998</v>
      </c>
      <c r="AA175">
        <v>5854.5680000000002</v>
      </c>
      <c r="AB175">
        <v>5738.1459999999997</v>
      </c>
      <c r="AC175">
        <v>5724.6440000000002</v>
      </c>
      <c r="AD175">
        <v>5613.52</v>
      </c>
      <c r="AE175">
        <v>4764.2830000000004</v>
      </c>
      <c r="AF175">
        <v>4122.8829999999998</v>
      </c>
      <c r="AG175">
        <v>3391.9520000000002</v>
      </c>
      <c r="AH175">
        <v>3531.4270000000001</v>
      </c>
      <c r="AI175">
        <v>3031.0259999999998</v>
      </c>
      <c r="AJ175">
        <v>3171.1170000000002</v>
      </c>
      <c r="AK175">
        <v>50.223999999999997</v>
      </c>
      <c r="AL175">
        <v>104.28100000000001</v>
      </c>
      <c r="AM175">
        <v>161.14500000000001</v>
      </c>
      <c r="AN175">
        <v>154.27000000000001</v>
      </c>
      <c r="AO175">
        <v>152.249</v>
      </c>
      <c r="AP175">
        <v>204.255</v>
      </c>
      <c r="AQ175">
        <v>162.327</v>
      </c>
      <c r="AR175">
        <v>165.142</v>
      </c>
      <c r="AS175">
        <v>175.71199999999999</v>
      </c>
      <c r="AT175">
        <v>173.78399999999999</v>
      </c>
      <c r="AU175">
        <v>243.03200000000001</v>
      </c>
      <c r="AV175">
        <v>245.047</v>
      </c>
      <c r="AW175">
        <v>245.321</v>
      </c>
      <c r="AX175">
        <v>280.738</v>
      </c>
      <c r="AY175">
        <v>305.70400000000001</v>
      </c>
      <c r="AZ175">
        <v>315.09100000000001</v>
      </c>
      <c r="BA175">
        <v>324.36099999999999</v>
      </c>
      <c r="BB175">
        <v>429.26600000000002</v>
      </c>
      <c r="BC175">
        <v>378.51400000000001</v>
      </c>
      <c r="BD175">
        <v>411.50299999999999</v>
      </c>
      <c r="BE175">
        <v>572.73800000000006</v>
      </c>
      <c r="BF175">
        <v>724.66200000000003</v>
      </c>
      <c r="BG175">
        <v>499.065</v>
      </c>
      <c r="BH175">
        <v>162.273</v>
      </c>
      <c r="BI175">
        <v>490.77800000000002</v>
      </c>
      <c r="BJ175">
        <v>652.95600000000002</v>
      </c>
      <c r="BK175">
        <v>728.16600000000005</v>
      </c>
      <c r="BL175">
        <v>931.93499999999995</v>
      </c>
      <c r="BM175">
        <v>1104.296</v>
      </c>
      <c r="BN175" t="str">
        <f>""</f>
        <v/>
      </c>
      <c r="BO175" t="str">
        <f>""</f>
        <v/>
      </c>
      <c r="BP175" t="str">
        <f>""</f>
        <v/>
      </c>
      <c r="BQ175" t="str">
        <f>""</f>
        <v/>
      </c>
      <c r="BR175" t="str">
        <f>""</f>
        <v/>
      </c>
      <c r="BS175" t="str">
        <f>""</f>
        <v/>
      </c>
      <c r="BT175" t="str">
        <f>""</f>
        <v/>
      </c>
      <c r="BU175" t="str">
        <f>""</f>
        <v/>
      </c>
      <c r="BV175" t="str">
        <f>""</f>
        <v/>
      </c>
      <c r="BW175" t="str">
        <f>""</f>
        <v/>
      </c>
      <c r="BX175" t="str">
        <f>""</f>
        <v/>
      </c>
      <c r="BY175" t="str">
        <f>""</f>
        <v/>
      </c>
      <c r="BZ175" t="str">
        <f>""</f>
        <v/>
      </c>
      <c r="CA175" t="str">
        <f>""</f>
        <v/>
      </c>
      <c r="CB175" t="str">
        <f>""</f>
        <v/>
      </c>
      <c r="CC175" t="str">
        <f>""</f>
        <v/>
      </c>
      <c r="CD175" t="str">
        <f>""</f>
        <v/>
      </c>
      <c r="CE175" t="str">
        <f>""</f>
        <v/>
      </c>
      <c r="CF175" t="str">
        <f>""</f>
        <v/>
      </c>
      <c r="CG175" t="str">
        <f>""</f>
        <v/>
      </c>
      <c r="CH175" t="str">
        <f>""</f>
        <v/>
      </c>
      <c r="CI175" t="str">
        <f>""</f>
        <v/>
      </c>
      <c r="CJ175" t="str">
        <f>""</f>
        <v/>
      </c>
      <c r="CK175" t="str">
        <f>""</f>
        <v/>
      </c>
      <c r="CL175" t="str">
        <f>""</f>
        <v/>
      </c>
      <c r="CM175" t="str">
        <f>""</f>
        <v/>
      </c>
      <c r="CN175" t="str">
        <f>""</f>
        <v/>
      </c>
      <c r="CO175" t="str">
        <f>""</f>
        <v/>
      </c>
      <c r="CP175" t="str">
        <f>""</f>
        <v/>
      </c>
      <c r="CQ175" t="str">
        <f>""</f>
        <v/>
      </c>
      <c r="CR175" t="str">
        <f>""</f>
        <v/>
      </c>
      <c r="CS175" t="str">
        <f>""</f>
        <v/>
      </c>
      <c r="CT175" t="str">
        <f>""</f>
        <v/>
      </c>
      <c r="CU175" t="str">
        <f>""</f>
        <v/>
      </c>
      <c r="CV175" t="str">
        <f>""</f>
        <v/>
      </c>
      <c r="CW175" t="str">
        <f>""</f>
        <v/>
      </c>
      <c r="CX175" t="str">
        <f>""</f>
        <v/>
      </c>
      <c r="CY175" t="str">
        <f>""</f>
        <v/>
      </c>
      <c r="CZ175" t="str">
        <f>""</f>
        <v/>
      </c>
      <c r="DA175" t="str">
        <f>""</f>
        <v/>
      </c>
      <c r="DB175" t="str">
        <f>""</f>
        <v/>
      </c>
      <c r="DC175" t="str">
        <f>""</f>
        <v/>
      </c>
      <c r="DD175" t="str">
        <f>""</f>
        <v/>
      </c>
      <c r="DE175" t="str">
        <f>""</f>
        <v/>
      </c>
      <c r="DF175" t="str">
        <f>""</f>
        <v/>
      </c>
      <c r="DG175" t="str">
        <f>""</f>
        <v/>
      </c>
      <c r="DH175" t="str">
        <f>""</f>
        <v/>
      </c>
      <c r="DI175" t="str">
        <f>""</f>
        <v/>
      </c>
      <c r="DJ175" t="str">
        <f>""</f>
        <v/>
      </c>
      <c r="DK175" t="str">
        <f>""</f>
        <v/>
      </c>
      <c r="DL175" t="str">
        <f>""</f>
        <v/>
      </c>
      <c r="DM175" t="str">
        <f>""</f>
        <v/>
      </c>
      <c r="DN175" t="str">
        <f>""</f>
        <v/>
      </c>
      <c r="DO175" t="str">
        <f>""</f>
        <v/>
      </c>
      <c r="DP175" t="str">
        <f>""</f>
        <v/>
      </c>
      <c r="DQ175" t="str">
        <f>""</f>
        <v/>
      </c>
      <c r="DR175" t="str">
        <f>""</f>
        <v/>
      </c>
      <c r="DS175" t="str">
        <f>""</f>
        <v/>
      </c>
      <c r="DT175" t="str">
        <f>""</f>
        <v/>
      </c>
      <c r="DU175" t="str">
        <f>""</f>
        <v/>
      </c>
    </row>
    <row r="176" spans="1:125" x14ac:dyDescent="0.25">
      <c r="A176" t="str">
        <f>$A$35</f>
        <v xml:space="preserve">                Huntington Bancshares Inc/OH</v>
      </c>
      <c r="B176" t="str">
        <f>$B$35</f>
        <v>HBAN US Equity</v>
      </c>
      <c r="C176" t="str">
        <f>$C$35</f>
        <v>FC471</v>
      </c>
      <c r="D176" t="str">
        <f>$D$35</f>
        <v>FDIC_SECS_AVAIL_FOR_SALE_MKT_VAL</v>
      </c>
      <c r="E176" t="str">
        <f>$E$35</f>
        <v>Dynamic</v>
      </c>
      <c r="F176">
        <f ca="1">_xll.BDH($B$35,$C$35,$B$143,$B$144,CONCATENATE("Per=",$B$141),"Dts=H","Dir=H",CONCATENATE("Points=",$B$142),"Sort=R","Days=A","Fill=B",CONCATENATE("FX=", $B$140),"cols=60;rows=1")</f>
        <v>27272.758000000002</v>
      </c>
      <c r="G176">
        <v>28491.954000000002</v>
      </c>
      <c r="H176">
        <v>27454.237000000001</v>
      </c>
      <c r="I176">
        <v>26800.598999999998</v>
      </c>
      <c r="J176">
        <v>25305.156999999999</v>
      </c>
      <c r="K176">
        <v>21863.071</v>
      </c>
      <c r="L176">
        <v>23233.03</v>
      </c>
      <c r="M176">
        <v>24085.623</v>
      </c>
      <c r="N176">
        <v>23422.547999999999</v>
      </c>
      <c r="O176">
        <v>23305.781999999999</v>
      </c>
      <c r="P176">
        <v>24376.76</v>
      </c>
      <c r="Q176">
        <v>25151.280999999999</v>
      </c>
      <c r="R176">
        <v>28459.611000000001</v>
      </c>
      <c r="S176">
        <v>25653.821</v>
      </c>
      <c r="T176">
        <v>22915.057000000001</v>
      </c>
      <c r="U176">
        <v>19374.739000000001</v>
      </c>
      <c r="V176">
        <v>16485.358</v>
      </c>
      <c r="W176">
        <v>14806.766</v>
      </c>
      <c r="X176">
        <v>13297.412</v>
      </c>
      <c r="Y176">
        <v>14622.112999999999</v>
      </c>
      <c r="Z176">
        <v>14148.686</v>
      </c>
      <c r="AA176">
        <v>14286.328</v>
      </c>
      <c r="AB176">
        <v>13694.518</v>
      </c>
      <c r="AC176">
        <v>13982.368</v>
      </c>
      <c r="AD176">
        <v>13780.338</v>
      </c>
      <c r="AE176">
        <v>13727.004999999999</v>
      </c>
      <c r="AF176">
        <v>14070.288</v>
      </c>
      <c r="AG176">
        <v>14607.128000000001</v>
      </c>
      <c r="AH176">
        <v>14888.262000000001</v>
      </c>
      <c r="AI176">
        <v>14870.041999999999</v>
      </c>
      <c r="AJ176">
        <v>14802.834000000001</v>
      </c>
      <c r="AK176">
        <v>15620.977000000001</v>
      </c>
      <c r="AL176">
        <v>15015.133</v>
      </c>
      <c r="AM176">
        <v>15978.294</v>
      </c>
      <c r="AN176">
        <v>9319.2870000000003</v>
      </c>
      <c r="AO176">
        <v>8985.9210000000003</v>
      </c>
      <c r="AP176">
        <v>8442.6550000000007</v>
      </c>
      <c r="AQ176">
        <v>10762.45</v>
      </c>
      <c r="AR176">
        <v>9922.7759999999998</v>
      </c>
      <c r="AS176">
        <v>9590.6280000000006</v>
      </c>
      <c r="AT176">
        <v>9053.11</v>
      </c>
      <c r="AU176">
        <v>8390.482</v>
      </c>
      <c r="AV176">
        <v>8159.9769999999999</v>
      </c>
      <c r="AW176">
        <v>7431.6379999999999</v>
      </c>
      <c r="AX176">
        <v>6987.7619999999997</v>
      </c>
      <c r="AY176">
        <v>6129.2190000000001</v>
      </c>
      <c r="AZ176">
        <v>6499.4859999999999</v>
      </c>
      <c r="BA176">
        <v>7192.9</v>
      </c>
      <c r="BB176">
        <v>7258.1040000000003</v>
      </c>
      <c r="BC176">
        <v>7477.1040000000003</v>
      </c>
      <c r="BD176">
        <v>8370.7440000000006</v>
      </c>
      <c r="BE176">
        <v>8618.43</v>
      </c>
      <c r="BF176">
        <v>7791.4989999999998</v>
      </c>
      <c r="BG176">
        <v>8403.25</v>
      </c>
      <c r="BH176">
        <v>7796.0550000000003</v>
      </c>
      <c r="BI176">
        <v>9013.9770000000008</v>
      </c>
      <c r="BJ176">
        <v>9586.5220000000008</v>
      </c>
      <c r="BK176">
        <v>9413.4159999999993</v>
      </c>
      <c r="BL176">
        <v>8498.8040000000001</v>
      </c>
      <c r="BM176">
        <v>8641.4490000000005</v>
      </c>
      <c r="BN176" t="str">
        <f>""</f>
        <v/>
      </c>
      <c r="BO176" t="str">
        <f>""</f>
        <v/>
      </c>
      <c r="BP176" t="str">
        <f>""</f>
        <v/>
      </c>
      <c r="BQ176" t="str">
        <f>""</f>
        <v/>
      </c>
      <c r="BR176" t="str">
        <f>""</f>
        <v/>
      </c>
      <c r="BS176" t="str">
        <f>""</f>
        <v/>
      </c>
      <c r="BT176" t="str">
        <f>""</f>
        <v/>
      </c>
      <c r="BU176" t="str">
        <f>""</f>
        <v/>
      </c>
      <c r="BV176" t="str">
        <f>""</f>
        <v/>
      </c>
      <c r="BW176" t="str">
        <f>""</f>
        <v/>
      </c>
      <c r="BX176" t="str">
        <f>""</f>
        <v/>
      </c>
      <c r="BY176" t="str">
        <f>""</f>
        <v/>
      </c>
      <c r="BZ176" t="str">
        <f>""</f>
        <v/>
      </c>
      <c r="CA176" t="str">
        <f>""</f>
        <v/>
      </c>
      <c r="CB176" t="str">
        <f>""</f>
        <v/>
      </c>
      <c r="CC176" t="str">
        <f>""</f>
        <v/>
      </c>
      <c r="CD176" t="str">
        <f>""</f>
        <v/>
      </c>
      <c r="CE176" t="str">
        <f>""</f>
        <v/>
      </c>
      <c r="CF176" t="str">
        <f>""</f>
        <v/>
      </c>
      <c r="CG176" t="str">
        <f>""</f>
        <v/>
      </c>
      <c r="CH176" t="str">
        <f>""</f>
        <v/>
      </c>
      <c r="CI176" t="str">
        <f>""</f>
        <v/>
      </c>
      <c r="CJ176" t="str">
        <f>""</f>
        <v/>
      </c>
      <c r="CK176" t="str">
        <f>""</f>
        <v/>
      </c>
      <c r="CL176" t="str">
        <f>""</f>
        <v/>
      </c>
      <c r="CM176" t="str">
        <f>""</f>
        <v/>
      </c>
      <c r="CN176" t="str">
        <f>""</f>
        <v/>
      </c>
      <c r="CO176" t="str">
        <f>""</f>
        <v/>
      </c>
      <c r="CP176" t="str">
        <f>""</f>
        <v/>
      </c>
      <c r="CQ176" t="str">
        <f>""</f>
        <v/>
      </c>
      <c r="CR176" t="str">
        <f>""</f>
        <v/>
      </c>
      <c r="CS176" t="str">
        <f>""</f>
        <v/>
      </c>
      <c r="CT176" t="str">
        <f>""</f>
        <v/>
      </c>
      <c r="CU176" t="str">
        <f>""</f>
        <v/>
      </c>
      <c r="CV176" t="str">
        <f>""</f>
        <v/>
      </c>
      <c r="CW176" t="str">
        <f>""</f>
        <v/>
      </c>
      <c r="CX176" t="str">
        <f>""</f>
        <v/>
      </c>
      <c r="CY176" t="str">
        <f>""</f>
        <v/>
      </c>
      <c r="CZ176" t="str">
        <f>""</f>
        <v/>
      </c>
      <c r="DA176" t="str">
        <f>""</f>
        <v/>
      </c>
      <c r="DB176" t="str">
        <f>""</f>
        <v/>
      </c>
      <c r="DC176" t="str">
        <f>""</f>
        <v/>
      </c>
      <c r="DD176" t="str">
        <f>""</f>
        <v/>
      </c>
      <c r="DE176" t="str">
        <f>""</f>
        <v/>
      </c>
      <c r="DF176" t="str">
        <f>""</f>
        <v/>
      </c>
      <c r="DG176" t="str">
        <f>""</f>
        <v/>
      </c>
      <c r="DH176" t="str">
        <f>""</f>
        <v/>
      </c>
      <c r="DI176" t="str">
        <f>""</f>
        <v/>
      </c>
      <c r="DJ176" t="str">
        <f>""</f>
        <v/>
      </c>
      <c r="DK176" t="str">
        <f>""</f>
        <v/>
      </c>
      <c r="DL176" t="str">
        <f>""</f>
        <v/>
      </c>
      <c r="DM176" t="str">
        <f>""</f>
        <v/>
      </c>
      <c r="DN176" t="str">
        <f>""</f>
        <v/>
      </c>
      <c r="DO176" t="str">
        <f>""</f>
        <v/>
      </c>
      <c r="DP176" t="str">
        <f>""</f>
        <v/>
      </c>
      <c r="DQ176" t="str">
        <f>""</f>
        <v/>
      </c>
      <c r="DR176" t="str">
        <f>""</f>
        <v/>
      </c>
      <c r="DS176" t="str">
        <f>""</f>
        <v/>
      </c>
      <c r="DT176" t="str">
        <f>""</f>
        <v/>
      </c>
      <c r="DU176" t="str">
        <f>""</f>
        <v/>
      </c>
    </row>
    <row r="177" spans="1:125" x14ac:dyDescent="0.25">
      <c r="A177" t="str">
        <f>$A$36</f>
        <v xml:space="preserve">                JPMorgan Chase &amp; Co</v>
      </c>
      <c r="B177" t="str">
        <f>$B$36</f>
        <v>JPM US Equity</v>
      </c>
      <c r="C177" t="str">
        <f>$C$36</f>
        <v>FC471</v>
      </c>
      <c r="D177" t="str">
        <f>$D$36</f>
        <v>FDIC_SECS_AVAIL_FOR_SALE_MKT_VAL</v>
      </c>
      <c r="E177" t="str">
        <f>$E$36</f>
        <v>Dynamic</v>
      </c>
      <c r="F177">
        <f ca="1">_xll.BDH($B$36,$C$36,$B$143,$B$144,CONCATENATE("Per=",$B$141),"Dts=H","Dir=H",CONCATENATE("Points=",$B$142),"Sort=R","Days=A","Fill=B",CONCATENATE("FX=", $B$140),"cols=60;rows=1")</f>
        <v>406852</v>
      </c>
      <c r="G177">
        <v>334548</v>
      </c>
      <c r="H177">
        <v>266252</v>
      </c>
      <c r="I177">
        <v>236152</v>
      </c>
      <c r="J177">
        <v>201704</v>
      </c>
      <c r="K177">
        <v>197119</v>
      </c>
      <c r="L177">
        <v>203262</v>
      </c>
      <c r="M177">
        <v>197248</v>
      </c>
      <c r="N177">
        <v>205857</v>
      </c>
      <c r="O177">
        <v>188140</v>
      </c>
      <c r="P177">
        <v>222069</v>
      </c>
      <c r="Q177">
        <v>312875</v>
      </c>
      <c r="R177">
        <v>308525</v>
      </c>
      <c r="S177">
        <v>251590</v>
      </c>
      <c r="T177">
        <v>232161</v>
      </c>
      <c r="U177">
        <v>379942</v>
      </c>
      <c r="V177">
        <v>388178</v>
      </c>
      <c r="W177">
        <v>389583</v>
      </c>
      <c r="X177">
        <v>485883</v>
      </c>
      <c r="Y177">
        <v>399868</v>
      </c>
      <c r="Z177">
        <v>350622</v>
      </c>
      <c r="AA177">
        <v>353347</v>
      </c>
      <c r="AB177">
        <v>276283</v>
      </c>
      <c r="AC177">
        <v>236441</v>
      </c>
      <c r="AD177">
        <v>230319</v>
      </c>
      <c r="AE177">
        <v>199955</v>
      </c>
      <c r="AF177">
        <v>201934</v>
      </c>
      <c r="AG177">
        <v>209086</v>
      </c>
      <c r="AH177">
        <v>202166</v>
      </c>
      <c r="AI177">
        <v>216151</v>
      </c>
      <c r="AJ177">
        <v>215640</v>
      </c>
      <c r="AK177">
        <v>232879</v>
      </c>
      <c r="AL177">
        <v>238785</v>
      </c>
      <c r="AM177">
        <v>220282</v>
      </c>
      <c r="AN177">
        <v>224693</v>
      </c>
      <c r="AO177">
        <v>237338</v>
      </c>
      <c r="AP177">
        <v>241471</v>
      </c>
      <c r="AQ177">
        <v>256073</v>
      </c>
      <c r="AR177">
        <v>265772</v>
      </c>
      <c r="AS177">
        <v>280849</v>
      </c>
      <c r="AT177">
        <v>297649</v>
      </c>
      <c r="AU177">
        <v>316224</v>
      </c>
      <c r="AV177">
        <v>312659</v>
      </c>
      <c r="AW177">
        <v>303068</v>
      </c>
      <c r="AX177">
        <v>328936</v>
      </c>
      <c r="AY177">
        <v>351093</v>
      </c>
      <c r="AZ177">
        <v>353131</v>
      </c>
      <c r="BA177">
        <v>363358</v>
      </c>
      <c r="BB177">
        <v>368362</v>
      </c>
      <c r="BC177">
        <v>362358</v>
      </c>
      <c r="BD177">
        <v>351592</v>
      </c>
      <c r="BE177">
        <v>378687</v>
      </c>
      <c r="BF177">
        <v>361764</v>
      </c>
      <c r="BG177">
        <v>334363</v>
      </c>
      <c r="BH177">
        <v>319865</v>
      </c>
      <c r="BI177">
        <v>331295</v>
      </c>
      <c r="BJ177">
        <v>312671</v>
      </c>
      <c r="BK177">
        <v>337277</v>
      </c>
      <c r="BL177">
        <v>309754</v>
      </c>
      <c r="BM177">
        <v>340146</v>
      </c>
      <c r="BN177" t="str">
        <f>""</f>
        <v/>
      </c>
      <c r="BO177" t="str">
        <f>""</f>
        <v/>
      </c>
      <c r="BP177" t="str">
        <f>""</f>
        <v/>
      </c>
      <c r="BQ177" t="str">
        <f>""</f>
        <v/>
      </c>
      <c r="BR177" t="str">
        <f>""</f>
        <v/>
      </c>
      <c r="BS177" t="str">
        <f>""</f>
        <v/>
      </c>
      <c r="BT177" t="str">
        <f>""</f>
        <v/>
      </c>
      <c r="BU177" t="str">
        <f>""</f>
        <v/>
      </c>
      <c r="BV177" t="str">
        <f>""</f>
        <v/>
      </c>
      <c r="BW177" t="str">
        <f>""</f>
        <v/>
      </c>
      <c r="BX177" t="str">
        <f>""</f>
        <v/>
      </c>
      <c r="BY177" t="str">
        <f>""</f>
        <v/>
      </c>
      <c r="BZ177" t="str">
        <f>""</f>
        <v/>
      </c>
      <c r="CA177" t="str">
        <f>""</f>
        <v/>
      </c>
      <c r="CB177" t="str">
        <f>""</f>
        <v/>
      </c>
      <c r="CC177" t="str">
        <f>""</f>
        <v/>
      </c>
      <c r="CD177" t="str">
        <f>""</f>
        <v/>
      </c>
      <c r="CE177" t="str">
        <f>""</f>
        <v/>
      </c>
      <c r="CF177" t="str">
        <f>""</f>
        <v/>
      </c>
      <c r="CG177" t="str">
        <f>""</f>
        <v/>
      </c>
      <c r="CH177" t="str">
        <f>""</f>
        <v/>
      </c>
      <c r="CI177" t="str">
        <f>""</f>
        <v/>
      </c>
      <c r="CJ177" t="str">
        <f>""</f>
        <v/>
      </c>
      <c r="CK177" t="str">
        <f>""</f>
        <v/>
      </c>
      <c r="CL177" t="str">
        <f>""</f>
        <v/>
      </c>
      <c r="CM177" t="str">
        <f>""</f>
        <v/>
      </c>
      <c r="CN177" t="str">
        <f>""</f>
        <v/>
      </c>
      <c r="CO177" t="str">
        <f>""</f>
        <v/>
      </c>
      <c r="CP177" t="str">
        <f>""</f>
        <v/>
      </c>
      <c r="CQ177" t="str">
        <f>""</f>
        <v/>
      </c>
      <c r="CR177" t="str">
        <f>""</f>
        <v/>
      </c>
      <c r="CS177" t="str">
        <f>""</f>
        <v/>
      </c>
      <c r="CT177" t="str">
        <f>""</f>
        <v/>
      </c>
      <c r="CU177" t="str">
        <f>""</f>
        <v/>
      </c>
      <c r="CV177" t="str">
        <f>""</f>
        <v/>
      </c>
      <c r="CW177" t="str">
        <f>""</f>
        <v/>
      </c>
      <c r="CX177" t="str">
        <f>""</f>
        <v/>
      </c>
      <c r="CY177" t="str">
        <f>""</f>
        <v/>
      </c>
      <c r="CZ177" t="str">
        <f>""</f>
        <v/>
      </c>
      <c r="DA177" t="str">
        <f>""</f>
        <v/>
      </c>
      <c r="DB177" t="str">
        <f>""</f>
        <v/>
      </c>
      <c r="DC177" t="str">
        <f>""</f>
        <v/>
      </c>
      <c r="DD177" t="str">
        <f>""</f>
        <v/>
      </c>
      <c r="DE177" t="str">
        <f>""</f>
        <v/>
      </c>
      <c r="DF177" t="str">
        <f>""</f>
        <v/>
      </c>
      <c r="DG177" t="str">
        <f>""</f>
        <v/>
      </c>
      <c r="DH177" t="str">
        <f>""</f>
        <v/>
      </c>
      <c r="DI177" t="str">
        <f>""</f>
        <v/>
      </c>
      <c r="DJ177" t="str">
        <f>""</f>
        <v/>
      </c>
      <c r="DK177" t="str">
        <f>""</f>
        <v/>
      </c>
      <c r="DL177" t="str">
        <f>""</f>
        <v/>
      </c>
      <c r="DM177" t="str">
        <f>""</f>
        <v/>
      </c>
      <c r="DN177" t="str">
        <f>""</f>
        <v/>
      </c>
      <c r="DO177" t="str">
        <f>""</f>
        <v/>
      </c>
      <c r="DP177" t="str">
        <f>""</f>
        <v/>
      </c>
      <c r="DQ177" t="str">
        <f>""</f>
        <v/>
      </c>
      <c r="DR177" t="str">
        <f>""</f>
        <v/>
      </c>
      <c r="DS177" t="str">
        <f>""</f>
        <v/>
      </c>
      <c r="DT177" t="str">
        <f>""</f>
        <v/>
      </c>
      <c r="DU177" t="str">
        <f>""</f>
        <v/>
      </c>
    </row>
    <row r="178" spans="1:125" x14ac:dyDescent="0.25">
      <c r="A178" t="str">
        <f>$A$37</f>
        <v xml:space="preserve">                KeyCorp</v>
      </c>
      <c r="B178" t="str">
        <f>$B$37</f>
        <v>KEY US Equity</v>
      </c>
      <c r="C178" t="str">
        <f>$C$37</f>
        <v>FC471</v>
      </c>
      <c r="D178" t="str">
        <f>$D$37</f>
        <v>FDIC_SECS_AVAIL_FOR_SALE_MKT_VAL</v>
      </c>
      <c r="E178" t="str">
        <f>$E$37</f>
        <v>Dynamic</v>
      </c>
      <c r="F178">
        <f ca="1">_xll.BDH($B$37,$C$37,$B$143,$B$144,CONCATENATE("Per=",$B$141),"Dts=H","Dir=H",CONCATENATE("Points=",$B$142),"Sort=R","Days=A","Fill=B",CONCATENATE("FX=", $B$140),"cols=60;rows=1")</f>
        <v>37706.589999999997</v>
      </c>
      <c r="G178">
        <v>34169.269</v>
      </c>
      <c r="H178">
        <v>37459.909</v>
      </c>
      <c r="I178">
        <v>37297.712</v>
      </c>
      <c r="J178">
        <v>37185.498</v>
      </c>
      <c r="K178">
        <v>35839.08</v>
      </c>
      <c r="L178">
        <v>37907.576999999997</v>
      </c>
      <c r="M178">
        <v>39497.699999999997</v>
      </c>
      <c r="N178">
        <v>39116.716</v>
      </c>
      <c r="O178">
        <v>39999.857000000004</v>
      </c>
      <c r="P178">
        <v>42436.595000000001</v>
      </c>
      <c r="Q178">
        <v>43681.493999999999</v>
      </c>
      <c r="R178">
        <v>45364.341999999997</v>
      </c>
      <c r="S178">
        <v>40593.675000000003</v>
      </c>
      <c r="T178">
        <v>34638.347000000002</v>
      </c>
      <c r="U178">
        <v>33922.410000000003</v>
      </c>
      <c r="V178">
        <v>27556.113000000001</v>
      </c>
      <c r="W178">
        <v>27895.147000000001</v>
      </c>
      <c r="X178">
        <v>23599.77</v>
      </c>
      <c r="Y178">
        <v>20807.178</v>
      </c>
      <c r="Z178">
        <v>21842.433000000001</v>
      </c>
      <c r="AA178">
        <v>22377.811000000002</v>
      </c>
      <c r="AB178">
        <v>21528.102999999999</v>
      </c>
      <c r="AC178">
        <v>20853.653999999999</v>
      </c>
      <c r="AD178">
        <v>19427.600999999999</v>
      </c>
      <c r="AE178">
        <v>18341.286</v>
      </c>
      <c r="AF178">
        <v>17367.366000000002</v>
      </c>
      <c r="AG178">
        <v>17888.143</v>
      </c>
      <c r="AH178">
        <v>18139.146000000001</v>
      </c>
      <c r="AI178">
        <v>19011.437999999998</v>
      </c>
      <c r="AJ178">
        <v>18023.704000000002</v>
      </c>
      <c r="AK178">
        <v>18431.187000000002</v>
      </c>
      <c r="AL178">
        <v>20211.651999999998</v>
      </c>
      <c r="AM178">
        <v>20540.103999999999</v>
      </c>
      <c r="AN178">
        <v>14551.664000000001</v>
      </c>
      <c r="AO178">
        <v>14303.572</v>
      </c>
      <c r="AP178">
        <v>14217.891</v>
      </c>
      <c r="AQ178">
        <v>14375.946</v>
      </c>
      <c r="AR178">
        <v>14243.868</v>
      </c>
      <c r="AS178">
        <v>13120.127</v>
      </c>
      <c r="AT178">
        <v>13359.713</v>
      </c>
      <c r="AU178">
        <v>12244.438</v>
      </c>
      <c r="AV178">
        <v>12223.947</v>
      </c>
      <c r="AW178">
        <v>12358.522999999999</v>
      </c>
      <c r="AX178">
        <v>12346.38</v>
      </c>
      <c r="AY178">
        <v>12606.062</v>
      </c>
      <c r="AZ178">
        <v>13252.933000000001</v>
      </c>
      <c r="BA178">
        <v>13496.346</v>
      </c>
      <c r="BB178">
        <v>12094.467000000001</v>
      </c>
      <c r="BC178">
        <v>11961.9</v>
      </c>
      <c r="BD178">
        <v>13204.934999999999</v>
      </c>
      <c r="BE178">
        <v>14632.751</v>
      </c>
      <c r="BF178">
        <v>16011.960999999999</v>
      </c>
      <c r="BG178">
        <v>17611.560000000001</v>
      </c>
      <c r="BH178">
        <v>18680.002</v>
      </c>
      <c r="BI178">
        <v>19447.974999999999</v>
      </c>
      <c r="BJ178">
        <v>21932.718000000001</v>
      </c>
      <c r="BK178">
        <v>21240.620999999999</v>
      </c>
      <c r="BL178">
        <v>19772.617999999999</v>
      </c>
      <c r="BM178">
        <v>16553.077000000001</v>
      </c>
      <c r="BN178" t="str">
        <f>""</f>
        <v/>
      </c>
      <c r="BO178" t="str">
        <f>""</f>
        <v/>
      </c>
      <c r="BP178" t="str">
        <f>""</f>
        <v/>
      </c>
      <c r="BQ178" t="str">
        <f>""</f>
        <v/>
      </c>
      <c r="BR178" t="str">
        <f>""</f>
        <v/>
      </c>
      <c r="BS178" t="str">
        <f>""</f>
        <v/>
      </c>
      <c r="BT178" t="str">
        <f>""</f>
        <v/>
      </c>
      <c r="BU178" t="str">
        <f>""</f>
        <v/>
      </c>
      <c r="BV178" t="str">
        <f>""</f>
        <v/>
      </c>
      <c r="BW178" t="str">
        <f>""</f>
        <v/>
      </c>
      <c r="BX178" t="str">
        <f>""</f>
        <v/>
      </c>
      <c r="BY178" t="str">
        <f>""</f>
        <v/>
      </c>
      <c r="BZ178" t="str">
        <f>""</f>
        <v/>
      </c>
      <c r="CA178" t="str">
        <f>""</f>
        <v/>
      </c>
      <c r="CB178" t="str">
        <f>""</f>
        <v/>
      </c>
      <c r="CC178" t="str">
        <f>""</f>
        <v/>
      </c>
      <c r="CD178" t="str">
        <f>""</f>
        <v/>
      </c>
      <c r="CE178" t="str">
        <f>""</f>
        <v/>
      </c>
      <c r="CF178" t="str">
        <f>""</f>
        <v/>
      </c>
      <c r="CG178" t="str">
        <f>""</f>
        <v/>
      </c>
      <c r="CH178" t="str">
        <f>""</f>
        <v/>
      </c>
      <c r="CI178" t="str">
        <f>""</f>
        <v/>
      </c>
      <c r="CJ178" t="str">
        <f>""</f>
        <v/>
      </c>
      <c r="CK178" t="str">
        <f>""</f>
        <v/>
      </c>
      <c r="CL178" t="str">
        <f>""</f>
        <v/>
      </c>
      <c r="CM178" t="str">
        <f>""</f>
        <v/>
      </c>
      <c r="CN178" t="str">
        <f>""</f>
        <v/>
      </c>
      <c r="CO178" t="str">
        <f>""</f>
        <v/>
      </c>
      <c r="CP178" t="str">
        <f>""</f>
        <v/>
      </c>
      <c r="CQ178" t="str">
        <f>""</f>
        <v/>
      </c>
      <c r="CR178" t="str">
        <f>""</f>
        <v/>
      </c>
      <c r="CS178" t="str">
        <f>""</f>
        <v/>
      </c>
      <c r="CT178" t="str">
        <f>""</f>
        <v/>
      </c>
      <c r="CU178" t="str">
        <f>""</f>
        <v/>
      </c>
      <c r="CV178" t="str">
        <f>""</f>
        <v/>
      </c>
      <c r="CW178" t="str">
        <f>""</f>
        <v/>
      </c>
      <c r="CX178" t="str">
        <f>""</f>
        <v/>
      </c>
      <c r="CY178" t="str">
        <f>""</f>
        <v/>
      </c>
      <c r="CZ178" t="str">
        <f>""</f>
        <v/>
      </c>
      <c r="DA178" t="str">
        <f>""</f>
        <v/>
      </c>
      <c r="DB178" t="str">
        <f>""</f>
        <v/>
      </c>
      <c r="DC178" t="str">
        <f>""</f>
        <v/>
      </c>
      <c r="DD178" t="str">
        <f>""</f>
        <v/>
      </c>
      <c r="DE178" t="str">
        <f>""</f>
        <v/>
      </c>
      <c r="DF178" t="str">
        <f>""</f>
        <v/>
      </c>
      <c r="DG178" t="str">
        <f>""</f>
        <v/>
      </c>
      <c r="DH178" t="str">
        <f>""</f>
        <v/>
      </c>
      <c r="DI178" t="str">
        <f>""</f>
        <v/>
      </c>
      <c r="DJ178" t="str">
        <f>""</f>
        <v/>
      </c>
      <c r="DK178" t="str">
        <f>""</f>
        <v/>
      </c>
      <c r="DL178" t="str">
        <f>""</f>
        <v/>
      </c>
      <c r="DM178" t="str">
        <f>""</f>
        <v/>
      </c>
      <c r="DN178" t="str">
        <f>""</f>
        <v/>
      </c>
      <c r="DO178" t="str">
        <f>""</f>
        <v/>
      </c>
      <c r="DP178" t="str">
        <f>""</f>
        <v/>
      </c>
      <c r="DQ178" t="str">
        <f>""</f>
        <v/>
      </c>
      <c r="DR178" t="str">
        <f>""</f>
        <v/>
      </c>
      <c r="DS178" t="str">
        <f>""</f>
        <v/>
      </c>
      <c r="DT178" t="str">
        <f>""</f>
        <v/>
      </c>
      <c r="DU178" t="str">
        <f>""</f>
        <v/>
      </c>
    </row>
    <row r="179" spans="1:125" x14ac:dyDescent="0.25">
      <c r="A179" t="str">
        <f>$A$38</f>
        <v xml:space="preserve">                M&amp;T Bank Corp</v>
      </c>
      <c r="B179" t="str">
        <f>$B$38</f>
        <v>MTB US Equity</v>
      </c>
      <c r="C179" t="str">
        <f>$C$38</f>
        <v>FC471</v>
      </c>
      <c r="D179" t="str">
        <f>$D$38</f>
        <v>FDIC_SECS_AVAIL_FOR_SALE_MKT_VAL</v>
      </c>
      <c r="E179" t="str">
        <f>$E$38</f>
        <v>Dynamic</v>
      </c>
      <c r="F179">
        <f ca="1">_xll.BDH($B$38,$C$38,$B$143,$B$144,CONCATENATE("Per=",$B$141),"Dts=H","Dir=H",CONCATENATE("Points=",$B$142),"Sort=R","Days=A","Fill=B",CONCATENATE("FX=", $B$140),"cols=60;rows=1")</f>
        <v>18849.29</v>
      </c>
      <c r="G179">
        <v>16726.683000000001</v>
      </c>
      <c r="H179">
        <v>13891.665000000001</v>
      </c>
      <c r="I179">
        <v>12133.781000000001</v>
      </c>
      <c r="J179">
        <v>10440.198</v>
      </c>
      <c r="K179">
        <v>10592.409</v>
      </c>
      <c r="L179">
        <v>10807.659</v>
      </c>
      <c r="M179">
        <v>11038.922</v>
      </c>
      <c r="N179">
        <v>10748.960999999999</v>
      </c>
      <c r="O179">
        <v>10870.346</v>
      </c>
      <c r="P179">
        <v>8704.9549999999999</v>
      </c>
      <c r="Q179">
        <v>5705.1989999999996</v>
      </c>
      <c r="R179">
        <v>3955.8040000000001</v>
      </c>
      <c r="S179">
        <v>3618.1060000000002</v>
      </c>
      <c r="T179">
        <v>3959.7829999999999</v>
      </c>
      <c r="U179">
        <v>4364.4369999999999</v>
      </c>
      <c r="V179">
        <v>4822.6059999999998</v>
      </c>
      <c r="W179">
        <v>5302.3379999999997</v>
      </c>
      <c r="X179">
        <v>5821.2740000000003</v>
      </c>
      <c r="Y179">
        <v>6139.9790000000003</v>
      </c>
      <c r="Z179">
        <v>6318.7759999999998</v>
      </c>
      <c r="AA179">
        <v>6985.4170000000004</v>
      </c>
      <c r="AB179">
        <v>7380.34</v>
      </c>
      <c r="AC179">
        <v>8325.5840000000007</v>
      </c>
      <c r="AD179">
        <v>8682.509</v>
      </c>
      <c r="AE179">
        <v>9154.5149999999994</v>
      </c>
      <c r="AF179">
        <v>9658.8459999999995</v>
      </c>
      <c r="AG179">
        <v>10297.856</v>
      </c>
      <c r="AH179">
        <v>10896.284</v>
      </c>
      <c r="AI179">
        <v>11416.087</v>
      </c>
      <c r="AJ179">
        <v>11928.115</v>
      </c>
      <c r="AK179">
        <v>12630.218000000001</v>
      </c>
      <c r="AL179">
        <v>13331.365</v>
      </c>
      <c r="AM179">
        <v>11861.861999999999</v>
      </c>
      <c r="AN179">
        <v>11918.263000000001</v>
      </c>
      <c r="AO179">
        <v>12199.951999999999</v>
      </c>
      <c r="AP179">
        <v>12241.965</v>
      </c>
      <c r="AQ179">
        <v>11158.789000000001</v>
      </c>
      <c r="AR179">
        <v>11250.117</v>
      </c>
      <c r="AS179">
        <v>10702.991</v>
      </c>
      <c r="AT179">
        <v>9156.3819999999996</v>
      </c>
      <c r="AU179">
        <v>9383.4869999999992</v>
      </c>
      <c r="AV179">
        <v>8008.26</v>
      </c>
      <c r="AW179">
        <v>6191.0420000000004</v>
      </c>
      <c r="AX179">
        <v>4531.26</v>
      </c>
      <c r="AY179">
        <v>4690.4309999999996</v>
      </c>
      <c r="AZ179">
        <v>3083.337</v>
      </c>
      <c r="BA179">
        <v>4398.9120000000003</v>
      </c>
      <c r="BB179">
        <v>4737.643</v>
      </c>
      <c r="BC179">
        <v>5181.9859999999999</v>
      </c>
      <c r="BD179">
        <v>5532.018</v>
      </c>
      <c r="BE179">
        <v>5836.0280000000002</v>
      </c>
      <c r="BF179">
        <v>6226.5910000000003</v>
      </c>
      <c r="BG179">
        <v>5633.51</v>
      </c>
      <c r="BH179">
        <v>4888.0069999999996</v>
      </c>
      <c r="BI179">
        <v>4853.067</v>
      </c>
      <c r="BJ179">
        <v>5411.5690000000004</v>
      </c>
      <c r="BK179">
        <v>5781.2139999999999</v>
      </c>
      <c r="BL179">
        <v>6147.808</v>
      </c>
      <c r="BM179">
        <v>6094.9560000000001</v>
      </c>
      <c r="BN179" t="str">
        <f>""</f>
        <v/>
      </c>
      <c r="BO179" t="str">
        <f>""</f>
        <v/>
      </c>
      <c r="BP179" t="str">
        <f>""</f>
        <v/>
      </c>
      <c r="BQ179" t="str">
        <f>""</f>
        <v/>
      </c>
      <c r="BR179" t="str">
        <f>""</f>
        <v/>
      </c>
      <c r="BS179" t="str">
        <f>""</f>
        <v/>
      </c>
      <c r="BT179" t="str">
        <f>""</f>
        <v/>
      </c>
      <c r="BU179" t="str">
        <f>""</f>
        <v/>
      </c>
      <c r="BV179" t="str">
        <f>""</f>
        <v/>
      </c>
      <c r="BW179" t="str">
        <f>""</f>
        <v/>
      </c>
      <c r="BX179" t="str">
        <f>""</f>
        <v/>
      </c>
      <c r="BY179" t="str">
        <f>""</f>
        <v/>
      </c>
      <c r="BZ179" t="str">
        <f>""</f>
        <v/>
      </c>
      <c r="CA179" t="str">
        <f>""</f>
        <v/>
      </c>
      <c r="CB179" t="str">
        <f>""</f>
        <v/>
      </c>
      <c r="CC179" t="str">
        <f>""</f>
        <v/>
      </c>
      <c r="CD179" t="str">
        <f>""</f>
        <v/>
      </c>
      <c r="CE179" t="str">
        <f>""</f>
        <v/>
      </c>
      <c r="CF179" t="str">
        <f>""</f>
        <v/>
      </c>
      <c r="CG179" t="str">
        <f>""</f>
        <v/>
      </c>
      <c r="CH179" t="str">
        <f>""</f>
        <v/>
      </c>
      <c r="CI179" t="str">
        <f>""</f>
        <v/>
      </c>
      <c r="CJ179" t="str">
        <f>""</f>
        <v/>
      </c>
      <c r="CK179" t="str">
        <f>""</f>
        <v/>
      </c>
      <c r="CL179" t="str">
        <f>""</f>
        <v/>
      </c>
      <c r="CM179" t="str">
        <f>""</f>
        <v/>
      </c>
      <c r="CN179" t="str">
        <f>""</f>
        <v/>
      </c>
      <c r="CO179" t="str">
        <f>""</f>
        <v/>
      </c>
      <c r="CP179" t="str">
        <f>""</f>
        <v/>
      </c>
      <c r="CQ179" t="str">
        <f>""</f>
        <v/>
      </c>
      <c r="CR179" t="str">
        <f>""</f>
        <v/>
      </c>
      <c r="CS179" t="str">
        <f>""</f>
        <v/>
      </c>
      <c r="CT179" t="str">
        <f>""</f>
        <v/>
      </c>
      <c r="CU179" t="str">
        <f>""</f>
        <v/>
      </c>
      <c r="CV179" t="str">
        <f>""</f>
        <v/>
      </c>
      <c r="CW179" t="str">
        <f>""</f>
        <v/>
      </c>
      <c r="CX179" t="str">
        <f>""</f>
        <v/>
      </c>
      <c r="CY179" t="str">
        <f>""</f>
        <v/>
      </c>
      <c r="CZ179" t="str">
        <f>""</f>
        <v/>
      </c>
      <c r="DA179" t="str">
        <f>""</f>
        <v/>
      </c>
      <c r="DB179" t="str">
        <f>""</f>
        <v/>
      </c>
      <c r="DC179" t="str">
        <f>""</f>
        <v/>
      </c>
      <c r="DD179" t="str">
        <f>""</f>
        <v/>
      </c>
      <c r="DE179" t="str">
        <f>""</f>
        <v/>
      </c>
      <c r="DF179" t="str">
        <f>""</f>
        <v/>
      </c>
      <c r="DG179" t="str">
        <f>""</f>
        <v/>
      </c>
      <c r="DH179" t="str">
        <f>""</f>
        <v/>
      </c>
      <c r="DI179" t="str">
        <f>""</f>
        <v/>
      </c>
      <c r="DJ179" t="str">
        <f>""</f>
        <v/>
      </c>
      <c r="DK179" t="str">
        <f>""</f>
        <v/>
      </c>
      <c r="DL179" t="str">
        <f>""</f>
        <v/>
      </c>
      <c r="DM179" t="str">
        <f>""</f>
        <v/>
      </c>
      <c r="DN179" t="str">
        <f>""</f>
        <v/>
      </c>
      <c r="DO179" t="str">
        <f>""</f>
        <v/>
      </c>
      <c r="DP179" t="str">
        <f>""</f>
        <v/>
      </c>
      <c r="DQ179" t="str">
        <f>""</f>
        <v/>
      </c>
      <c r="DR179" t="str">
        <f>""</f>
        <v/>
      </c>
      <c r="DS179" t="str">
        <f>""</f>
        <v/>
      </c>
      <c r="DT179" t="str">
        <f>""</f>
        <v/>
      </c>
      <c r="DU179" t="str">
        <f>""</f>
        <v/>
      </c>
    </row>
    <row r="180" spans="1:125" x14ac:dyDescent="0.25">
      <c r="A180" t="str">
        <f>$A$39</f>
        <v xml:space="preserve">                PNC Financial Services Group I</v>
      </c>
      <c r="B180" t="str">
        <f>$B$39</f>
        <v>PNC US Equity</v>
      </c>
      <c r="C180" t="str">
        <f>$C$39</f>
        <v>FC471</v>
      </c>
      <c r="D180" t="str">
        <f>$D$39</f>
        <v>FDIC_SECS_AVAIL_FOR_SALE_MKT_VAL</v>
      </c>
      <c r="E180" t="str">
        <f>$E$39</f>
        <v>Dynamic</v>
      </c>
      <c r="F180">
        <f ca="1">_xll.BDH($B$39,$C$39,$B$143,$B$144,CONCATENATE("Per=",$B$141),"Dts=H","Dir=H",CONCATENATE("Points=",$B$142),"Sort=R","Days=A","Fill=B",CONCATENATE("FX=", $B$140),"cols=60;rows=1")</f>
        <v>62038.597999999998</v>
      </c>
      <c r="G180">
        <v>60338.084000000003</v>
      </c>
      <c r="H180">
        <v>51188.114999999998</v>
      </c>
      <c r="I180">
        <v>42280.438000000002</v>
      </c>
      <c r="J180">
        <v>41784.665000000001</v>
      </c>
      <c r="K180">
        <v>40589.587</v>
      </c>
      <c r="L180">
        <v>41787.434000000001</v>
      </c>
      <c r="M180">
        <v>43220.362000000001</v>
      </c>
      <c r="N180">
        <v>44158.53</v>
      </c>
      <c r="O180">
        <v>45798.491000000002</v>
      </c>
      <c r="P180">
        <v>52983.625</v>
      </c>
      <c r="Q180">
        <v>112313.33</v>
      </c>
      <c r="R180">
        <v>131535.696</v>
      </c>
      <c r="S180">
        <v>124126.67200000001</v>
      </c>
      <c r="T180">
        <v>125057.928</v>
      </c>
      <c r="U180">
        <v>96798.66</v>
      </c>
      <c r="V180">
        <v>87357.81</v>
      </c>
      <c r="W180">
        <v>89746.775999999998</v>
      </c>
      <c r="X180">
        <v>97052.442999999999</v>
      </c>
      <c r="Y180">
        <v>89077.625</v>
      </c>
      <c r="Z180">
        <v>69163.373999999996</v>
      </c>
      <c r="AA180">
        <v>69056.740999999995</v>
      </c>
      <c r="AB180">
        <v>69354.885999999999</v>
      </c>
      <c r="AC180">
        <v>65051.339</v>
      </c>
      <c r="AD180">
        <v>63388.987000000001</v>
      </c>
      <c r="AE180">
        <v>61210.692999999999</v>
      </c>
      <c r="AF180">
        <v>60275.188999999998</v>
      </c>
      <c r="AG180">
        <v>56017.978999999999</v>
      </c>
      <c r="AH180">
        <v>57617.582000000002</v>
      </c>
      <c r="AI180">
        <v>57253.997000000003</v>
      </c>
      <c r="AJ180">
        <v>58878.266000000003</v>
      </c>
      <c r="AK180">
        <v>59339.457000000002</v>
      </c>
      <c r="AL180">
        <v>60104.421000000002</v>
      </c>
      <c r="AM180">
        <v>61940.88</v>
      </c>
      <c r="AN180">
        <v>56883.608999999997</v>
      </c>
      <c r="AO180">
        <v>57414.993999999999</v>
      </c>
      <c r="AP180">
        <v>55759.184999999998</v>
      </c>
      <c r="AQ180">
        <v>53662.847999999998</v>
      </c>
      <c r="AR180">
        <v>47679.004000000001</v>
      </c>
      <c r="AS180">
        <v>47579.476999999999</v>
      </c>
      <c r="AT180">
        <v>44234.612000000001</v>
      </c>
      <c r="AU180">
        <v>43620.059000000001</v>
      </c>
      <c r="AV180">
        <v>44518.631999999998</v>
      </c>
      <c r="AW180">
        <v>47483.173000000003</v>
      </c>
      <c r="AX180">
        <v>48607.728999999999</v>
      </c>
      <c r="AY180">
        <v>45761.396000000001</v>
      </c>
      <c r="AZ180">
        <v>47898.913</v>
      </c>
      <c r="BA180">
        <v>49536.305999999997</v>
      </c>
      <c r="BB180">
        <v>51052.209000000003</v>
      </c>
      <c r="BC180">
        <v>52132.463000000003</v>
      </c>
      <c r="BD180">
        <v>51251.514999999999</v>
      </c>
      <c r="BE180">
        <v>53357.637000000002</v>
      </c>
      <c r="BF180">
        <v>48568.536</v>
      </c>
      <c r="BG180">
        <v>49715.021999999997</v>
      </c>
      <c r="BH180">
        <v>49667.368000000002</v>
      </c>
      <c r="BI180">
        <v>54526.400000000001</v>
      </c>
      <c r="BJ180">
        <v>57310.457000000002</v>
      </c>
      <c r="BK180">
        <v>56049.714999999997</v>
      </c>
      <c r="BL180">
        <v>45849.724999999999</v>
      </c>
      <c r="BM180">
        <v>49541.571000000004</v>
      </c>
      <c r="BN180" t="str">
        <f>""</f>
        <v/>
      </c>
      <c r="BO180" t="str">
        <f>""</f>
        <v/>
      </c>
      <c r="BP180" t="str">
        <f>""</f>
        <v/>
      </c>
      <c r="BQ180" t="str">
        <f>""</f>
        <v/>
      </c>
      <c r="BR180" t="str">
        <f>""</f>
        <v/>
      </c>
      <c r="BS180" t="str">
        <f>""</f>
        <v/>
      </c>
      <c r="BT180" t="str">
        <f>""</f>
        <v/>
      </c>
      <c r="BU180" t="str">
        <f>""</f>
        <v/>
      </c>
      <c r="BV180" t="str">
        <f>""</f>
        <v/>
      </c>
      <c r="BW180" t="str">
        <f>""</f>
        <v/>
      </c>
      <c r="BX180" t="str">
        <f>""</f>
        <v/>
      </c>
      <c r="BY180" t="str">
        <f>""</f>
        <v/>
      </c>
      <c r="BZ180" t="str">
        <f>""</f>
        <v/>
      </c>
      <c r="CA180" t="str">
        <f>""</f>
        <v/>
      </c>
      <c r="CB180" t="str">
        <f>""</f>
        <v/>
      </c>
      <c r="CC180" t="str">
        <f>""</f>
        <v/>
      </c>
      <c r="CD180" t="str">
        <f>""</f>
        <v/>
      </c>
      <c r="CE180" t="str">
        <f>""</f>
        <v/>
      </c>
      <c r="CF180" t="str">
        <f>""</f>
        <v/>
      </c>
      <c r="CG180" t="str">
        <f>""</f>
        <v/>
      </c>
      <c r="CH180" t="str">
        <f>""</f>
        <v/>
      </c>
      <c r="CI180" t="str">
        <f>""</f>
        <v/>
      </c>
      <c r="CJ180" t="str">
        <f>""</f>
        <v/>
      </c>
      <c r="CK180" t="str">
        <f>""</f>
        <v/>
      </c>
      <c r="CL180" t="str">
        <f>""</f>
        <v/>
      </c>
      <c r="CM180" t="str">
        <f>""</f>
        <v/>
      </c>
      <c r="CN180" t="str">
        <f>""</f>
        <v/>
      </c>
      <c r="CO180" t="str">
        <f>""</f>
        <v/>
      </c>
      <c r="CP180" t="str">
        <f>""</f>
        <v/>
      </c>
      <c r="CQ180" t="str">
        <f>""</f>
        <v/>
      </c>
      <c r="CR180" t="str">
        <f>""</f>
        <v/>
      </c>
      <c r="CS180" t="str">
        <f>""</f>
        <v/>
      </c>
      <c r="CT180" t="str">
        <f>""</f>
        <v/>
      </c>
      <c r="CU180" t="str">
        <f>""</f>
        <v/>
      </c>
      <c r="CV180" t="str">
        <f>""</f>
        <v/>
      </c>
      <c r="CW180" t="str">
        <f>""</f>
        <v/>
      </c>
      <c r="CX180" t="str">
        <f>""</f>
        <v/>
      </c>
      <c r="CY180" t="str">
        <f>""</f>
        <v/>
      </c>
      <c r="CZ180" t="str">
        <f>""</f>
        <v/>
      </c>
      <c r="DA180" t="str">
        <f>""</f>
        <v/>
      </c>
      <c r="DB180" t="str">
        <f>""</f>
        <v/>
      </c>
      <c r="DC180" t="str">
        <f>""</f>
        <v/>
      </c>
      <c r="DD180" t="str">
        <f>""</f>
        <v/>
      </c>
      <c r="DE180" t="str">
        <f>""</f>
        <v/>
      </c>
      <c r="DF180" t="str">
        <f>""</f>
        <v/>
      </c>
      <c r="DG180" t="str">
        <f>""</f>
        <v/>
      </c>
      <c r="DH180" t="str">
        <f>""</f>
        <v/>
      </c>
      <c r="DI180" t="str">
        <f>""</f>
        <v/>
      </c>
      <c r="DJ180" t="str">
        <f>""</f>
        <v/>
      </c>
      <c r="DK180" t="str">
        <f>""</f>
        <v/>
      </c>
      <c r="DL180" t="str">
        <f>""</f>
        <v/>
      </c>
      <c r="DM180" t="str">
        <f>""</f>
        <v/>
      </c>
      <c r="DN180" t="str">
        <f>""</f>
        <v/>
      </c>
      <c r="DO180" t="str">
        <f>""</f>
        <v/>
      </c>
      <c r="DP180" t="str">
        <f>""</f>
        <v/>
      </c>
      <c r="DQ180" t="str">
        <f>""</f>
        <v/>
      </c>
      <c r="DR180" t="str">
        <f>""</f>
        <v/>
      </c>
      <c r="DS180" t="str">
        <f>""</f>
        <v/>
      </c>
      <c r="DT180" t="str">
        <f>""</f>
        <v/>
      </c>
      <c r="DU180" t="str">
        <f>""</f>
        <v/>
      </c>
    </row>
    <row r="181" spans="1:125" x14ac:dyDescent="0.25">
      <c r="A181" t="str">
        <f>$A$40</f>
        <v xml:space="preserve">                Regions Financial Corp</v>
      </c>
      <c r="B181" t="str">
        <f>$B$40</f>
        <v>RF US Equity</v>
      </c>
      <c r="C181" t="str">
        <f>$C$40</f>
        <v>FC471</v>
      </c>
      <c r="D181" t="str">
        <f>$D$40</f>
        <v>FDIC_SECS_AVAIL_FOR_SALE_MKT_VAL</v>
      </c>
      <c r="E181" t="str">
        <f>$E$40</f>
        <v>Dynamic</v>
      </c>
      <c r="F181">
        <f ca="1">_xll.BDH($B$40,$C$40,$B$143,$B$144,CONCATENATE("Per=",$B$141),"Dts=H","Dir=H",CONCATENATE("Points=",$B$142),"Sort=R","Days=A","Fill=B",CONCATENATE("FX=", $B$140),"cols=60;rows=1")</f>
        <v>26224</v>
      </c>
      <c r="G181">
        <v>28698</v>
      </c>
      <c r="H181">
        <v>28537</v>
      </c>
      <c r="I181">
        <v>27881</v>
      </c>
      <c r="J181">
        <v>28104</v>
      </c>
      <c r="K181">
        <v>26228</v>
      </c>
      <c r="L181">
        <v>27296</v>
      </c>
      <c r="M181">
        <v>28230</v>
      </c>
      <c r="N181">
        <v>27933</v>
      </c>
      <c r="O181">
        <v>28126</v>
      </c>
      <c r="P181">
        <v>29052</v>
      </c>
      <c r="Q181">
        <v>29384</v>
      </c>
      <c r="R181">
        <v>28481</v>
      </c>
      <c r="S181">
        <v>28986</v>
      </c>
      <c r="T181">
        <v>29290</v>
      </c>
      <c r="U181">
        <v>27091</v>
      </c>
      <c r="V181">
        <v>27154</v>
      </c>
      <c r="W181">
        <v>27007</v>
      </c>
      <c r="X181">
        <v>23898</v>
      </c>
      <c r="Y181">
        <v>23775</v>
      </c>
      <c r="Z181">
        <v>22606</v>
      </c>
      <c r="AA181">
        <v>22986</v>
      </c>
      <c r="AB181">
        <v>22699</v>
      </c>
      <c r="AC181">
        <v>23786</v>
      </c>
      <c r="AD181">
        <v>22729.215</v>
      </c>
      <c r="AE181">
        <v>22670.541000000001</v>
      </c>
      <c r="AF181">
        <v>22934.581999999999</v>
      </c>
      <c r="AG181">
        <v>23084.874</v>
      </c>
      <c r="AH181">
        <v>23628.285</v>
      </c>
      <c r="AI181">
        <v>23659.108</v>
      </c>
      <c r="AJ181">
        <v>23607.451000000001</v>
      </c>
      <c r="AK181">
        <v>23520.601999999999</v>
      </c>
      <c r="AL181">
        <v>23781.337</v>
      </c>
      <c r="AM181">
        <v>23859.106</v>
      </c>
      <c r="AN181">
        <v>23493.512999999999</v>
      </c>
      <c r="AO181">
        <v>23095.207999999999</v>
      </c>
      <c r="AP181">
        <v>22710.133999999998</v>
      </c>
      <c r="AQ181">
        <v>22033.95</v>
      </c>
      <c r="AR181">
        <v>22044.690999999999</v>
      </c>
      <c r="AS181">
        <v>22375.046999999999</v>
      </c>
      <c r="AT181">
        <v>22052.867999999999</v>
      </c>
      <c r="AU181">
        <v>21884.884999999998</v>
      </c>
      <c r="AV181">
        <v>21469.496999999999</v>
      </c>
      <c r="AW181">
        <v>21108.322</v>
      </c>
      <c r="AX181">
        <v>20946.531999999999</v>
      </c>
      <c r="AY181">
        <v>21067.975999999999</v>
      </c>
      <c r="AZ181">
        <v>21393.337</v>
      </c>
      <c r="BA181">
        <v>26537.906999999999</v>
      </c>
      <c r="BB181">
        <v>26686.77</v>
      </c>
      <c r="BC181">
        <v>27022.956999999999</v>
      </c>
      <c r="BD181">
        <v>26617.105</v>
      </c>
      <c r="BE181">
        <v>26475.855</v>
      </c>
      <c r="BF181">
        <v>23770.087</v>
      </c>
      <c r="BG181">
        <v>23892.232</v>
      </c>
      <c r="BH181">
        <v>23027.571</v>
      </c>
      <c r="BI181">
        <v>23812.307000000001</v>
      </c>
      <c r="BJ181">
        <v>22398.448</v>
      </c>
      <c r="BK181">
        <v>22641.306</v>
      </c>
      <c r="BL181">
        <v>23216.971000000001</v>
      </c>
      <c r="BM181">
        <v>23254.156999999999</v>
      </c>
      <c r="BN181" t="str">
        <f>""</f>
        <v/>
      </c>
      <c r="BO181" t="str">
        <f>""</f>
        <v/>
      </c>
      <c r="BP181" t="str">
        <f>""</f>
        <v/>
      </c>
      <c r="BQ181" t="str">
        <f>""</f>
        <v/>
      </c>
      <c r="BR181" t="str">
        <f>""</f>
        <v/>
      </c>
      <c r="BS181" t="str">
        <f>""</f>
        <v/>
      </c>
      <c r="BT181" t="str">
        <f>""</f>
        <v/>
      </c>
      <c r="BU181" t="str">
        <f>""</f>
        <v/>
      </c>
      <c r="BV181" t="str">
        <f>""</f>
        <v/>
      </c>
      <c r="BW181" t="str">
        <f>""</f>
        <v/>
      </c>
      <c r="BX181" t="str">
        <f>""</f>
        <v/>
      </c>
      <c r="BY181" t="str">
        <f>""</f>
        <v/>
      </c>
      <c r="BZ181" t="str">
        <f>""</f>
        <v/>
      </c>
      <c r="CA181" t="str">
        <f>""</f>
        <v/>
      </c>
      <c r="CB181" t="str">
        <f>""</f>
        <v/>
      </c>
      <c r="CC181" t="str">
        <f>""</f>
        <v/>
      </c>
      <c r="CD181" t="str">
        <f>""</f>
        <v/>
      </c>
      <c r="CE181" t="str">
        <f>""</f>
        <v/>
      </c>
      <c r="CF181" t="str">
        <f>""</f>
        <v/>
      </c>
      <c r="CG181" t="str">
        <f>""</f>
        <v/>
      </c>
      <c r="CH181" t="str">
        <f>""</f>
        <v/>
      </c>
      <c r="CI181" t="str">
        <f>""</f>
        <v/>
      </c>
      <c r="CJ181" t="str">
        <f>""</f>
        <v/>
      </c>
      <c r="CK181" t="str">
        <f>""</f>
        <v/>
      </c>
      <c r="CL181" t="str">
        <f>""</f>
        <v/>
      </c>
      <c r="CM181" t="str">
        <f>""</f>
        <v/>
      </c>
      <c r="CN181" t="str">
        <f>""</f>
        <v/>
      </c>
      <c r="CO181" t="str">
        <f>""</f>
        <v/>
      </c>
      <c r="CP181" t="str">
        <f>""</f>
        <v/>
      </c>
      <c r="CQ181" t="str">
        <f>""</f>
        <v/>
      </c>
      <c r="CR181" t="str">
        <f>""</f>
        <v/>
      </c>
      <c r="CS181" t="str">
        <f>""</f>
        <v/>
      </c>
      <c r="CT181" t="str">
        <f>""</f>
        <v/>
      </c>
      <c r="CU181" t="str">
        <f>""</f>
        <v/>
      </c>
      <c r="CV181" t="str">
        <f>""</f>
        <v/>
      </c>
      <c r="CW181" t="str">
        <f>""</f>
        <v/>
      </c>
      <c r="CX181" t="str">
        <f>""</f>
        <v/>
      </c>
      <c r="CY181" t="str">
        <f>""</f>
        <v/>
      </c>
      <c r="CZ181" t="str">
        <f>""</f>
        <v/>
      </c>
      <c r="DA181" t="str">
        <f>""</f>
        <v/>
      </c>
      <c r="DB181" t="str">
        <f>""</f>
        <v/>
      </c>
      <c r="DC181" t="str">
        <f>""</f>
        <v/>
      </c>
      <c r="DD181" t="str">
        <f>""</f>
        <v/>
      </c>
      <c r="DE181" t="str">
        <f>""</f>
        <v/>
      </c>
      <c r="DF181" t="str">
        <f>""</f>
        <v/>
      </c>
      <c r="DG181" t="str">
        <f>""</f>
        <v/>
      </c>
      <c r="DH181" t="str">
        <f>""</f>
        <v/>
      </c>
      <c r="DI181" t="str">
        <f>""</f>
        <v/>
      </c>
      <c r="DJ181" t="str">
        <f>""</f>
        <v/>
      </c>
      <c r="DK181" t="str">
        <f>""</f>
        <v/>
      </c>
      <c r="DL181" t="str">
        <f>""</f>
        <v/>
      </c>
      <c r="DM181" t="str">
        <f>""</f>
        <v/>
      </c>
      <c r="DN181" t="str">
        <f>""</f>
        <v/>
      </c>
      <c r="DO181" t="str">
        <f>""</f>
        <v/>
      </c>
      <c r="DP181" t="str">
        <f>""</f>
        <v/>
      </c>
      <c r="DQ181" t="str">
        <f>""</f>
        <v/>
      </c>
      <c r="DR181" t="str">
        <f>""</f>
        <v/>
      </c>
      <c r="DS181" t="str">
        <f>""</f>
        <v/>
      </c>
      <c r="DT181" t="str">
        <f>""</f>
        <v/>
      </c>
      <c r="DU181" t="str">
        <f>""</f>
        <v/>
      </c>
    </row>
    <row r="182" spans="1:125" x14ac:dyDescent="0.25">
      <c r="A182" t="str">
        <f>$A$41</f>
        <v xml:space="preserve">                Truist Financial Corp</v>
      </c>
      <c r="B182" t="str">
        <f>$B$41</f>
        <v>TFC US Equity</v>
      </c>
      <c r="C182" t="str">
        <f>$C$41</f>
        <v>FC471</v>
      </c>
      <c r="D182" t="str">
        <f>$D$41</f>
        <v>FDIC_SECS_AVAIL_FOR_SALE_MKT_VAL</v>
      </c>
      <c r="E182" t="str">
        <f>$E$41</f>
        <v>Dynamic</v>
      </c>
      <c r="F182">
        <f ca="1">_xll.BDH($B$41,$C$41,$B$143,$B$144,CONCATENATE("Per=",$B$141),"Dts=H","Dir=H",CONCATENATE("Points=",$B$142),"Sort=R","Days=A","Fill=B",CONCATENATE("FX=", $B$140),"cols=60;rows=1")</f>
        <v>67464</v>
      </c>
      <c r="G182">
        <v>64111</v>
      </c>
      <c r="H182">
        <v>55969</v>
      </c>
      <c r="I182">
        <v>66050</v>
      </c>
      <c r="J182">
        <v>67366</v>
      </c>
      <c r="K182">
        <v>65117</v>
      </c>
      <c r="L182">
        <v>68965</v>
      </c>
      <c r="M182">
        <v>71858</v>
      </c>
      <c r="N182">
        <v>71801</v>
      </c>
      <c r="O182">
        <v>72978</v>
      </c>
      <c r="P182">
        <v>79278</v>
      </c>
      <c r="Q182">
        <v>84753</v>
      </c>
      <c r="R182">
        <v>153123</v>
      </c>
      <c r="S182">
        <v>151038</v>
      </c>
      <c r="T182">
        <v>139879</v>
      </c>
      <c r="U182">
        <v>123807</v>
      </c>
      <c r="V182">
        <v>120788</v>
      </c>
      <c r="W182">
        <v>86132</v>
      </c>
      <c r="X182">
        <v>77805</v>
      </c>
      <c r="Y182">
        <v>78398</v>
      </c>
      <c r="Z182">
        <v>74727</v>
      </c>
      <c r="AA182">
        <v>35997</v>
      </c>
      <c r="AB182">
        <v>25802</v>
      </c>
      <c r="AC182">
        <v>26315</v>
      </c>
      <c r="AD182">
        <v>25038</v>
      </c>
      <c r="AE182">
        <v>24286</v>
      </c>
      <c r="AF182">
        <v>23919</v>
      </c>
      <c r="AG182">
        <v>25017</v>
      </c>
      <c r="AH182">
        <v>24547</v>
      </c>
      <c r="AI182">
        <v>23184</v>
      </c>
      <c r="AJ182">
        <v>26899</v>
      </c>
      <c r="AK182">
        <v>26667.681</v>
      </c>
      <c r="AL182">
        <v>26925.701000000001</v>
      </c>
      <c r="AM182">
        <v>29448.832999999999</v>
      </c>
      <c r="AN182">
        <v>28243.617999999999</v>
      </c>
      <c r="AO182">
        <v>27129.023000000001</v>
      </c>
      <c r="AP182">
        <v>25297.185000000001</v>
      </c>
      <c r="AQ182">
        <v>24249.216</v>
      </c>
      <c r="AR182">
        <v>21183.437999999998</v>
      </c>
      <c r="AS182">
        <v>21674.491999999998</v>
      </c>
      <c r="AT182">
        <v>20907.064999999999</v>
      </c>
      <c r="AU182">
        <v>21174.350999999999</v>
      </c>
      <c r="AV182">
        <v>20936.341</v>
      </c>
      <c r="AW182">
        <v>20496.466</v>
      </c>
      <c r="AX182">
        <v>22104.164000000001</v>
      </c>
      <c r="AY182">
        <v>22864.437999999998</v>
      </c>
      <c r="AZ182">
        <v>24477.002</v>
      </c>
      <c r="BA182">
        <v>24169.901000000002</v>
      </c>
      <c r="BB182">
        <v>25137.420999999998</v>
      </c>
      <c r="BC182">
        <v>24098.17</v>
      </c>
      <c r="BD182">
        <v>25066.716</v>
      </c>
      <c r="BE182">
        <v>24380.262999999999</v>
      </c>
      <c r="BF182">
        <v>22313.653999999999</v>
      </c>
      <c r="BG182">
        <v>24649.133000000002</v>
      </c>
      <c r="BH182">
        <v>19408.678</v>
      </c>
      <c r="BI182">
        <v>17886.592000000001</v>
      </c>
      <c r="BJ182">
        <v>23169.776999999998</v>
      </c>
      <c r="BK182">
        <v>24496.758999999998</v>
      </c>
      <c r="BL182">
        <v>23661.855</v>
      </c>
      <c r="BM182">
        <v>32653.937000000002</v>
      </c>
      <c r="BN182" t="str">
        <f>""</f>
        <v/>
      </c>
      <c r="BO182" t="str">
        <f>""</f>
        <v/>
      </c>
      <c r="BP182" t="str">
        <f>""</f>
        <v/>
      </c>
      <c r="BQ182" t="str">
        <f>""</f>
        <v/>
      </c>
      <c r="BR182" t="str">
        <f>""</f>
        <v/>
      </c>
      <c r="BS182" t="str">
        <f>""</f>
        <v/>
      </c>
      <c r="BT182" t="str">
        <f>""</f>
        <v/>
      </c>
      <c r="BU182" t="str">
        <f>""</f>
        <v/>
      </c>
      <c r="BV182" t="str">
        <f>""</f>
        <v/>
      </c>
      <c r="BW182" t="str">
        <f>""</f>
        <v/>
      </c>
      <c r="BX182" t="str">
        <f>""</f>
        <v/>
      </c>
      <c r="BY182" t="str">
        <f>""</f>
        <v/>
      </c>
      <c r="BZ182" t="str">
        <f>""</f>
        <v/>
      </c>
      <c r="CA182" t="str">
        <f>""</f>
        <v/>
      </c>
      <c r="CB182" t="str">
        <f>""</f>
        <v/>
      </c>
      <c r="CC182" t="str">
        <f>""</f>
        <v/>
      </c>
      <c r="CD182" t="str">
        <f>""</f>
        <v/>
      </c>
      <c r="CE182" t="str">
        <f>""</f>
        <v/>
      </c>
      <c r="CF182" t="str">
        <f>""</f>
        <v/>
      </c>
      <c r="CG182" t="str">
        <f>""</f>
        <v/>
      </c>
      <c r="CH182" t="str">
        <f>""</f>
        <v/>
      </c>
      <c r="CI182" t="str">
        <f>""</f>
        <v/>
      </c>
      <c r="CJ182" t="str">
        <f>""</f>
        <v/>
      </c>
      <c r="CK182" t="str">
        <f>""</f>
        <v/>
      </c>
      <c r="CL182" t="str">
        <f>""</f>
        <v/>
      </c>
      <c r="CM182" t="str">
        <f>""</f>
        <v/>
      </c>
      <c r="CN182" t="str">
        <f>""</f>
        <v/>
      </c>
      <c r="CO182" t="str">
        <f>""</f>
        <v/>
      </c>
      <c r="CP182" t="str">
        <f>""</f>
        <v/>
      </c>
      <c r="CQ182" t="str">
        <f>""</f>
        <v/>
      </c>
      <c r="CR182" t="str">
        <f>""</f>
        <v/>
      </c>
      <c r="CS182" t="str">
        <f>""</f>
        <v/>
      </c>
      <c r="CT182" t="str">
        <f>""</f>
        <v/>
      </c>
      <c r="CU182" t="str">
        <f>""</f>
        <v/>
      </c>
      <c r="CV182" t="str">
        <f>""</f>
        <v/>
      </c>
      <c r="CW182" t="str">
        <f>""</f>
        <v/>
      </c>
      <c r="CX182" t="str">
        <f>""</f>
        <v/>
      </c>
      <c r="CY182" t="str">
        <f>""</f>
        <v/>
      </c>
      <c r="CZ182" t="str">
        <f>""</f>
        <v/>
      </c>
      <c r="DA182" t="str">
        <f>""</f>
        <v/>
      </c>
      <c r="DB182" t="str">
        <f>""</f>
        <v/>
      </c>
      <c r="DC182" t="str">
        <f>""</f>
        <v/>
      </c>
      <c r="DD182" t="str">
        <f>""</f>
        <v/>
      </c>
      <c r="DE182" t="str">
        <f>""</f>
        <v/>
      </c>
      <c r="DF182" t="str">
        <f>""</f>
        <v/>
      </c>
      <c r="DG182" t="str">
        <f>""</f>
        <v/>
      </c>
      <c r="DH182" t="str">
        <f>""</f>
        <v/>
      </c>
      <c r="DI182" t="str">
        <f>""</f>
        <v/>
      </c>
      <c r="DJ182" t="str">
        <f>""</f>
        <v/>
      </c>
      <c r="DK182" t="str">
        <f>""</f>
        <v/>
      </c>
      <c r="DL182" t="str">
        <f>""</f>
        <v/>
      </c>
      <c r="DM182" t="str">
        <f>""</f>
        <v/>
      </c>
      <c r="DN182" t="str">
        <f>""</f>
        <v/>
      </c>
      <c r="DO182" t="str">
        <f>""</f>
        <v/>
      </c>
      <c r="DP182" t="str">
        <f>""</f>
        <v/>
      </c>
      <c r="DQ182" t="str">
        <f>""</f>
        <v/>
      </c>
      <c r="DR182" t="str">
        <f>""</f>
        <v/>
      </c>
      <c r="DS182" t="str">
        <f>""</f>
        <v/>
      </c>
      <c r="DT182" t="str">
        <f>""</f>
        <v/>
      </c>
      <c r="DU182" t="str">
        <f>""</f>
        <v/>
      </c>
    </row>
    <row r="183" spans="1:125" x14ac:dyDescent="0.25">
      <c r="A183" t="str">
        <f>$A$42</f>
        <v xml:space="preserve">                US Bancorp</v>
      </c>
      <c r="B183" t="str">
        <f>$B$42</f>
        <v>USB US Equity</v>
      </c>
      <c r="C183" t="str">
        <f>$C$42</f>
        <v>FC471</v>
      </c>
      <c r="D183" t="str">
        <f>$D$42</f>
        <v>FDIC_SECS_AVAIL_FOR_SALE_MKT_VAL</v>
      </c>
      <c r="E183" t="str">
        <f>$E$42</f>
        <v>Dynamic</v>
      </c>
      <c r="F183">
        <f ca="1">_xll.BDH($B$42,$C$42,$B$143,$B$144,CONCATENATE("Per=",$B$141),"Dts=H","Dir=H",CONCATENATE("Points=",$B$142),"Sort=R","Days=A","Fill=B",CONCATENATE("FX=", $B$140),"cols=60;rows=1")</f>
        <v>85992</v>
      </c>
      <c r="G183">
        <v>81704</v>
      </c>
      <c r="H183">
        <v>79799</v>
      </c>
      <c r="I183">
        <v>72426</v>
      </c>
      <c r="J183">
        <v>69706</v>
      </c>
      <c r="K183">
        <v>67207</v>
      </c>
      <c r="L183">
        <v>69221</v>
      </c>
      <c r="M183">
        <v>65491</v>
      </c>
      <c r="N183">
        <v>72910</v>
      </c>
      <c r="O183">
        <v>68523</v>
      </c>
      <c r="P183">
        <v>98806</v>
      </c>
      <c r="Q183">
        <v>123593</v>
      </c>
      <c r="R183">
        <v>132963</v>
      </c>
      <c r="S183">
        <v>149376</v>
      </c>
      <c r="T183">
        <v>160288</v>
      </c>
      <c r="U183">
        <v>156003</v>
      </c>
      <c r="V183">
        <v>136840</v>
      </c>
      <c r="W183">
        <v>134032</v>
      </c>
      <c r="X183">
        <v>128120</v>
      </c>
      <c r="Y183">
        <v>123681</v>
      </c>
      <c r="Z183">
        <v>122613</v>
      </c>
      <c r="AA183">
        <v>74598</v>
      </c>
      <c r="AB183">
        <v>69197</v>
      </c>
      <c r="AC183">
        <v>68113</v>
      </c>
      <c r="AD183">
        <v>66115</v>
      </c>
      <c r="AE183">
        <v>64912</v>
      </c>
      <c r="AF183">
        <v>66347</v>
      </c>
      <c r="AG183">
        <v>67125</v>
      </c>
      <c r="AH183">
        <v>68137</v>
      </c>
      <c r="AI183">
        <v>67772</v>
      </c>
      <c r="AJ183">
        <v>67455</v>
      </c>
      <c r="AK183">
        <v>67031</v>
      </c>
      <c r="AL183">
        <v>66284</v>
      </c>
      <c r="AM183">
        <v>67155</v>
      </c>
      <c r="AN183">
        <v>66490</v>
      </c>
      <c r="AO183">
        <v>64912</v>
      </c>
      <c r="AP183">
        <v>61997</v>
      </c>
      <c r="AQ183">
        <v>60396</v>
      </c>
      <c r="AR183">
        <v>57078</v>
      </c>
      <c r="AS183">
        <v>56826</v>
      </c>
      <c r="AT183">
        <v>56069</v>
      </c>
      <c r="AU183">
        <v>52674</v>
      </c>
      <c r="AV183">
        <v>48389</v>
      </c>
      <c r="AW183">
        <v>44761</v>
      </c>
      <c r="AX183">
        <v>40935</v>
      </c>
      <c r="AY183">
        <v>39307</v>
      </c>
      <c r="AZ183">
        <v>40307</v>
      </c>
      <c r="BA183">
        <v>40570</v>
      </c>
      <c r="BB183">
        <v>40139</v>
      </c>
      <c r="BC183">
        <v>39636</v>
      </c>
      <c r="BD183">
        <v>39313</v>
      </c>
      <c r="BE183">
        <v>52749</v>
      </c>
      <c r="BF183">
        <v>51937</v>
      </c>
      <c r="BG183">
        <v>52109</v>
      </c>
      <c r="BH183">
        <v>52299</v>
      </c>
      <c r="BI183">
        <v>52248</v>
      </c>
      <c r="BJ183">
        <v>51509</v>
      </c>
      <c r="BK183">
        <v>48406</v>
      </c>
      <c r="BL183">
        <v>47777</v>
      </c>
      <c r="BM183">
        <v>46288</v>
      </c>
      <c r="BN183" t="str">
        <f>""</f>
        <v/>
      </c>
      <c r="BO183" t="str">
        <f>""</f>
        <v/>
      </c>
      <c r="BP183" t="str">
        <f>""</f>
        <v/>
      </c>
      <c r="BQ183" t="str">
        <f>""</f>
        <v/>
      </c>
      <c r="BR183" t="str">
        <f>""</f>
        <v/>
      </c>
      <c r="BS183" t="str">
        <f>""</f>
        <v/>
      </c>
      <c r="BT183" t="str">
        <f>""</f>
        <v/>
      </c>
      <c r="BU183" t="str">
        <f>""</f>
        <v/>
      </c>
      <c r="BV183" t="str">
        <f>""</f>
        <v/>
      </c>
      <c r="BW183" t="str">
        <f>""</f>
        <v/>
      </c>
      <c r="BX183" t="str">
        <f>""</f>
        <v/>
      </c>
      <c r="BY183" t="str">
        <f>""</f>
        <v/>
      </c>
      <c r="BZ183" t="str">
        <f>""</f>
        <v/>
      </c>
      <c r="CA183" t="str">
        <f>""</f>
        <v/>
      </c>
      <c r="CB183" t="str">
        <f>""</f>
        <v/>
      </c>
      <c r="CC183" t="str">
        <f>""</f>
        <v/>
      </c>
      <c r="CD183" t="str">
        <f>""</f>
        <v/>
      </c>
      <c r="CE183" t="str">
        <f>""</f>
        <v/>
      </c>
      <c r="CF183" t="str">
        <f>""</f>
        <v/>
      </c>
      <c r="CG183" t="str">
        <f>""</f>
        <v/>
      </c>
      <c r="CH183" t="str">
        <f>""</f>
        <v/>
      </c>
      <c r="CI183" t="str">
        <f>""</f>
        <v/>
      </c>
      <c r="CJ183" t="str">
        <f>""</f>
        <v/>
      </c>
      <c r="CK183" t="str">
        <f>""</f>
        <v/>
      </c>
      <c r="CL183" t="str">
        <f>""</f>
        <v/>
      </c>
      <c r="CM183" t="str">
        <f>""</f>
        <v/>
      </c>
      <c r="CN183" t="str">
        <f>""</f>
        <v/>
      </c>
      <c r="CO183" t="str">
        <f>""</f>
        <v/>
      </c>
      <c r="CP183" t="str">
        <f>""</f>
        <v/>
      </c>
      <c r="CQ183" t="str">
        <f>""</f>
        <v/>
      </c>
      <c r="CR183" t="str">
        <f>""</f>
        <v/>
      </c>
      <c r="CS183" t="str">
        <f>""</f>
        <v/>
      </c>
      <c r="CT183" t="str">
        <f>""</f>
        <v/>
      </c>
      <c r="CU183" t="str">
        <f>""</f>
        <v/>
      </c>
      <c r="CV183" t="str">
        <f>""</f>
        <v/>
      </c>
      <c r="CW183" t="str">
        <f>""</f>
        <v/>
      </c>
      <c r="CX183" t="str">
        <f>""</f>
        <v/>
      </c>
      <c r="CY183" t="str">
        <f>""</f>
        <v/>
      </c>
      <c r="CZ183" t="str">
        <f>""</f>
        <v/>
      </c>
      <c r="DA183" t="str">
        <f>""</f>
        <v/>
      </c>
      <c r="DB183" t="str">
        <f>""</f>
        <v/>
      </c>
      <c r="DC183" t="str">
        <f>""</f>
        <v/>
      </c>
      <c r="DD183" t="str">
        <f>""</f>
        <v/>
      </c>
      <c r="DE183" t="str">
        <f>""</f>
        <v/>
      </c>
      <c r="DF183" t="str">
        <f>""</f>
        <v/>
      </c>
      <c r="DG183" t="str">
        <f>""</f>
        <v/>
      </c>
      <c r="DH183" t="str">
        <f>""</f>
        <v/>
      </c>
      <c r="DI183" t="str">
        <f>""</f>
        <v/>
      </c>
      <c r="DJ183" t="str">
        <f>""</f>
        <v/>
      </c>
      <c r="DK183" t="str">
        <f>""</f>
        <v/>
      </c>
      <c r="DL183" t="str">
        <f>""</f>
        <v/>
      </c>
      <c r="DM183" t="str">
        <f>""</f>
        <v/>
      </c>
      <c r="DN183" t="str">
        <f>""</f>
        <v/>
      </c>
      <c r="DO183" t="str">
        <f>""</f>
        <v/>
      </c>
      <c r="DP183" t="str">
        <f>""</f>
        <v/>
      </c>
      <c r="DQ183" t="str">
        <f>""</f>
        <v/>
      </c>
      <c r="DR183" t="str">
        <f>""</f>
        <v/>
      </c>
      <c r="DS183" t="str">
        <f>""</f>
        <v/>
      </c>
      <c r="DT183" t="str">
        <f>""</f>
        <v/>
      </c>
      <c r="DU183" t="str">
        <f>""</f>
        <v/>
      </c>
    </row>
    <row r="184" spans="1:125" x14ac:dyDescent="0.25">
      <c r="A184" t="str">
        <f>$A$43</f>
        <v xml:space="preserve">                Wells Fargo &amp; Co</v>
      </c>
      <c r="B184" t="str">
        <f>$B$43</f>
        <v>WFC US Equity</v>
      </c>
      <c r="C184" t="str">
        <f>$C$43</f>
        <v>FC471</v>
      </c>
      <c r="D184" t="str">
        <f>$D$43</f>
        <v>FDIC_SECS_AVAIL_FOR_SALE_MKT_VAL</v>
      </c>
      <c r="E184" t="str">
        <f>$E$43</f>
        <v>Dynamic</v>
      </c>
      <c r="F184">
        <f ca="1">_xll.BDH($B$43,$C$43,$B$143,$B$144,CONCATENATE("Per=",$B$141),"Dts=H","Dir=H",CONCATENATE("Points=",$B$142),"Sort=R","Days=A","Fill=B",CONCATENATE("FX=", $B$140),"cols=60;rows=1")</f>
        <v>162978</v>
      </c>
      <c r="G184">
        <v>166004</v>
      </c>
      <c r="H184">
        <v>148752</v>
      </c>
      <c r="I184">
        <v>138245</v>
      </c>
      <c r="J184">
        <v>130448</v>
      </c>
      <c r="K184">
        <v>126437</v>
      </c>
      <c r="L184">
        <v>134251</v>
      </c>
      <c r="M184">
        <v>144398</v>
      </c>
      <c r="N184">
        <v>113594</v>
      </c>
      <c r="O184">
        <v>115835</v>
      </c>
      <c r="P184">
        <v>125832</v>
      </c>
      <c r="Q184">
        <v>168436</v>
      </c>
      <c r="R184">
        <v>177244</v>
      </c>
      <c r="S184">
        <v>185556</v>
      </c>
      <c r="T184">
        <v>189897</v>
      </c>
      <c r="U184">
        <v>200850</v>
      </c>
      <c r="V184">
        <v>220392</v>
      </c>
      <c r="W184">
        <v>220573</v>
      </c>
      <c r="X184">
        <v>228899</v>
      </c>
      <c r="Y184">
        <v>251229</v>
      </c>
      <c r="Z184">
        <v>263459</v>
      </c>
      <c r="AA184">
        <v>271236</v>
      </c>
      <c r="AB184">
        <v>265983</v>
      </c>
      <c r="AC184">
        <v>268099</v>
      </c>
      <c r="AD184">
        <v>269912</v>
      </c>
      <c r="AE184">
        <v>262964</v>
      </c>
      <c r="AF184">
        <v>265687</v>
      </c>
      <c r="AG184">
        <v>271656</v>
      </c>
      <c r="AH184">
        <v>278086</v>
      </c>
      <c r="AI184">
        <v>272723</v>
      </c>
      <c r="AJ184">
        <v>270165</v>
      </c>
      <c r="AK184">
        <v>300653</v>
      </c>
      <c r="AL184">
        <v>309154</v>
      </c>
      <c r="AM184">
        <v>293434</v>
      </c>
      <c r="AN184">
        <v>259510</v>
      </c>
      <c r="AO184">
        <v>260539</v>
      </c>
      <c r="AP184">
        <v>267820</v>
      </c>
      <c r="AQ184">
        <v>266882</v>
      </c>
      <c r="AR184">
        <v>260875</v>
      </c>
      <c r="AS184">
        <v>257895</v>
      </c>
      <c r="AT184">
        <v>257956</v>
      </c>
      <c r="AU184">
        <v>249450</v>
      </c>
      <c r="AV184">
        <v>249756</v>
      </c>
      <c r="AW184">
        <v>253369</v>
      </c>
      <c r="AX184">
        <v>252683</v>
      </c>
      <c r="AY184">
        <v>259874</v>
      </c>
      <c r="AZ184">
        <v>249439</v>
      </c>
      <c r="BA184">
        <v>248160</v>
      </c>
      <c r="BB184">
        <v>235199</v>
      </c>
      <c r="BC184">
        <v>229350</v>
      </c>
      <c r="BD184">
        <v>226846</v>
      </c>
      <c r="BE184">
        <v>230266</v>
      </c>
      <c r="BF184">
        <v>222613</v>
      </c>
      <c r="BG184">
        <v>207176</v>
      </c>
      <c r="BH184">
        <v>186298</v>
      </c>
      <c r="BI184">
        <v>167906</v>
      </c>
      <c r="BJ184">
        <v>172654</v>
      </c>
      <c r="BK184">
        <v>176875</v>
      </c>
      <c r="BL184">
        <v>157931</v>
      </c>
      <c r="BM184">
        <v>162494</v>
      </c>
      <c r="BN184" t="str">
        <f>""</f>
        <v/>
      </c>
      <c r="BO184" t="str">
        <f>""</f>
        <v/>
      </c>
      <c r="BP184" t="str">
        <f>""</f>
        <v/>
      </c>
      <c r="BQ184" t="str">
        <f>""</f>
        <v/>
      </c>
      <c r="BR184" t="str">
        <f>""</f>
        <v/>
      </c>
      <c r="BS184" t="str">
        <f>""</f>
        <v/>
      </c>
      <c r="BT184" t="str">
        <f>""</f>
        <v/>
      </c>
      <c r="BU184" t="str">
        <f>""</f>
        <v/>
      </c>
      <c r="BV184" t="str">
        <f>""</f>
        <v/>
      </c>
      <c r="BW184" t="str">
        <f>""</f>
        <v/>
      </c>
      <c r="BX184" t="str">
        <f>""</f>
        <v/>
      </c>
      <c r="BY184" t="str">
        <f>""</f>
        <v/>
      </c>
      <c r="BZ184" t="str">
        <f>""</f>
        <v/>
      </c>
      <c r="CA184" t="str">
        <f>""</f>
        <v/>
      </c>
      <c r="CB184" t="str">
        <f>""</f>
        <v/>
      </c>
      <c r="CC184" t="str">
        <f>""</f>
        <v/>
      </c>
      <c r="CD184" t="str">
        <f>""</f>
        <v/>
      </c>
      <c r="CE184" t="str">
        <f>""</f>
        <v/>
      </c>
      <c r="CF184" t="str">
        <f>""</f>
        <v/>
      </c>
      <c r="CG184" t="str">
        <f>""</f>
        <v/>
      </c>
      <c r="CH184" t="str">
        <f>""</f>
        <v/>
      </c>
      <c r="CI184" t="str">
        <f>""</f>
        <v/>
      </c>
      <c r="CJ184" t="str">
        <f>""</f>
        <v/>
      </c>
      <c r="CK184" t="str">
        <f>""</f>
        <v/>
      </c>
      <c r="CL184" t="str">
        <f>""</f>
        <v/>
      </c>
      <c r="CM184" t="str">
        <f>""</f>
        <v/>
      </c>
      <c r="CN184" t="str">
        <f>""</f>
        <v/>
      </c>
      <c r="CO184" t="str">
        <f>""</f>
        <v/>
      </c>
      <c r="CP184" t="str">
        <f>""</f>
        <v/>
      </c>
      <c r="CQ184" t="str">
        <f>""</f>
        <v/>
      </c>
      <c r="CR184" t="str">
        <f>""</f>
        <v/>
      </c>
      <c r="CS184" t="str">
        <f>""</f>
        <v/>
      </c>
      <c r="CT184" t="str">
        <f>""</f>
        <v/>
      </c>
      <c r="CU184" t="str">
        <f>""</f>
        <v/>
      </c>
      <c r="CV184" t="str">
        <f>""</f>
        <v/>
      </c>
      <c r="CW184" t="str">
        <f>""</f>
        <v/>
      </c>
      <c r="CX184" t="str">
        <f>""</f>
        <v/>
      </c>
      <c r="CY184" t="str">
        <f>""</f>
        <v/>
      </c>
      <c r="CZ184" t="str">
        <f>""</f>
        <v/>
      </c>
      <c r="DA184" t="str">
        <f>""</f>
        <v/>
      </c>
      <c r="DB184" t="str">
        <f>""</f>
        <v/>
      </c>
      <c r="DC184" t="str">
        <f>""</f>
        <v/>
      </c>
      <c r="DD184" t="str">
        <f>""</f>
        <v/>
      </c>
      <c r="DE184" t="str">
        <f>""</f>
        <v/>
      </c>
      <c r="DF184" t="str">
        <f>""</f>
        <v/>
      </c>
      <c r="DG184" t="str">
        <f>""</f>
        <v/>
      </c>
      <c r="DH184" t="str">
        <f>""</f>
        <v/>
      </c>
      <c r="DI184" t="str">
        <f>""</f>
        <v/>
      </c>
      <c r="DJ184" t="str">
        <f>""</f>
        <v/>
      </c>
      <c r="DK184" t="str">
        <f>""</f>
        <v/>
      </c>
      <c r="DL184" t="str">
        <f>""</f>
        <v/>
      </c>
      <c r="DM184" t="str">
        <f>""</f>
        <v/>
      </c>
      <c r="DN184" t="str">
        <f>""</f>
        <v/>
      </c>
      <c r="DO184" t="str">
        <f>""</f>
        <v/>
      </c>
      <c r="DP184" t="str">
        <f>""</f>
        <v/>
      </c>
      <c r="DQ184" t="str">
        <f>""</f>
        <v/>
      </c>
      <c r="DR184" t="str">
        <f>""</f>
        <v/>
      </c>
      <c r="DS184" t="str">
        <f>""</f>
        <v/>
      </c>
      <c r="DT184" t="str">
        <f>""</f>
        <v/>
      </c>
      <c r="DU184" t="str">
        <f>""</f>
        <v/>
      </c>
    </row>
    <row r="185" spans="1:125" x14ac:dyDescent="0.25">
      <c r="A185" t="str">
        <f>$A$44</f>
        <v xml:space="preserve">                Western Alliance Bancorp</v>
      </c>
      <c r="B185" t="str">
        <f>$B$44</f>
        <v>WAL US Equity</v>
      </c>
      <c r="C185" t="str">
        <f>$C$44</f>
        <v>FC471</v>
      </c>
      <c r="D185" t="str">
        <f>$D$44</f>
        <v>FDIC_SECS_AVAIL_FOR_SALE_MKT_VAL</v>
      </c>
      <c r="E185" t="str">
        <f>$E$44</f>
        <v>Dynamic</v>
      </c>
      <c r="F185">
        <f ca="1">_xll.BDH($B$44,$C$44,$B$143,$B$144,CONCATENATE("Per=",$B$141),"Dts=H","Dir=H",CONCATENATE("Points=",$B$142),"Sort=R","Days=A","Fill=B",CONCATENATE("FX=", $B$140),"cols=60;rows=1")</f>
        <v>13468.288</v>
      </c>
      <c r="G185">
        <v>14749.968000000001</v>
      </c>
      <c r="H185">
        <v>15681.272999999999</v>
      </c>
      <c r="I185">
        <v>14508.793</v>
      </c>
      <c r="J185">
        <v>11164.916999999999</v>
      </c>
      <c r="K185">
        <v>9688.7450000000008</v>
      </c>
      <c r="L185">
        <v>8630.7579999999998</v>
      </c>
      <c r="M185">
        <v>7645.4719999999998</v>
      </c>
      <c r="N185">
        <v>7092.4179999999997</v>
      </c>
      <c r="O185">
        <v>6960.3239999999996</v>
      </c>
      <c r="P185">
        <v>7267.6450000000004</v>
      </c>
      <c r="Q185">
        <v>6852.1949999999997</v>
      </c>
      <c r="R185">
        <v>6188.8159999999998</v>
      </c>
      <c r="S185">
        <v>6383.6080000000002</v>
      </c>
      <c r="T185">
        <v>6615.2020000000002</v>
      </c>
      <c r="U185">
        <v>6939.9390000000003</v>
      </c>
      <c r="V185">
        <v>4708.5110000000004</v>
      </c>
      <c r="W185">
        <v>3975.2249999999999</v>
      </c>
      <c r="X185">
        <v>3516.922</v>
      </c>
      <c r="Y185">
        <v>3676.6509999999998</v>
      </c>
      <c r="Z185">
        <v>3346.31</v>
      </c>
      <c r="AA185">
        <v>3512.828</v>
      </c>
      <c r="AB185">
        <v>3253.0940000000001</v>
      </c>
      <c r="AC185">
        <v>3244.2469999999998</v>
      </c>
      <c r="AD185">
        <v>3276.9879999999998</v>
      </c>
      <c r="AE185">
        <v>3107.076</v>
      </c>
      <c r="AF185">
        <v>3199.0149999999999</v>
      </c>
      <c r="AG185">
        <v>3261.2979999999998</v>
      </c>
      <c r="AH185">
        <v>3499.5189999999998</v>
      </c>
      <c r="AI185">
        <v>3552.8440000000001</v>
      </c>
      <c r="AJ185">
        <v>3084.6579999999999</v>
      </c>
      <c r="AK185">
        <v>2700.011</v>
      </c>
      <c r="AL185">
        <v>2609.38</v>
      </c>
      <c r="AM185">
        <v>2659.1819999999998</v>
      </c>
      <c r="AN185">
        <v>2165.5390000000002</v>
      </c>
      <c r="AO185">
        <v>2012.82</v>
      </c>
      <c r="AP185">
        <v>1982.5229999999999</v>
      </c>
      <c r="AQ185">
        <v>1932.98</v>
      </c>
      <c r="AR185">
        <v>1478.2339999999999</v>
      </c>
      <c r="AS185">
        <v>1399.4280000000001</v>
      </c>
      <c r="AT185">
        <v>1520.2370000000001</v>
      </c>
      <c r="AU185">
        <v>1570.0619999999999</v>
      </c>
      <c r="AV185">
        <v>1578.6790000000001</v>
      </c>
      <c r="AW185">
        <v>1367.2840000000001</v>
      </c>
      <c r="AX185">
        <v>1373.328</v>
      </c>
      <c r="AY185">
        <v>1078.0619999999999</v>
      </c>
      <c r="AZ185">
        <v>988.13800000000003</v>
      </c>
      <c r="BA185">
        <v>1006.981</v>
      </c>
      <c r="BB185">
        <v>940.25400000000002</v>
      </c>
      <c r="BC185">
        <v>1049.903</v>
      </c>
      <c r="BD185">
        <v>1110.759</v>
      </c>
      <c r="BE185">
        <v>1131.491</v>
      </c>
      <c r="BF185">
        <v>1197.7280000000001</v>
      </c>
      <c r="BG185">
        <v>1124.4639999999999</v>
      </c>
      <c r="BH185">
        <v>1048.55</v>
      </c>
      <c r="BI185">
        <v>1260.8420000000001</v>
      </c>
      <c r="BJ185">
        <v>1210.646</v>
      </c>
      <c r="BK185">
        <v>873.17</v>
      </c>
      <c r="BL185">
        <v>803.34699999999998</v>
      </c>
      <c r="BM185">
        <v>725.73900000000003</v>
      </c>
      <c r="BN185" t="str">
        <f>""</f>
        <v/>
      </c>
      <c r="BO185" t="str">
        <f>""</f>
        <v/>
      </c>
      <c r="BP185" t="str">
        <f>""</f>
        <v/>
      </c>
      <c r="BQ185" t="str">
        <f>""</f>
        <v/>
      </c>
      <c r="BR185" t="str">
        <f>""</f>
        <v/>
      </c>
      <c r="BS185" t="str">
        <f>""</f>
        <v/>
      </c>
      <c r="BT185" t="str">
        <f>""</f>
        <v/>
      </c>
      <c r="BU185" t="str">
        <f>""</f>
        <v/>
      </c>
      <c r="BV185" t="str">
        <f>""</f>
        <v/>
      </c>
      <c r="BW185" t="str">
        <f>""</f>
        <v/>
      </c>
      <c r="BX185" t="str">
        <f>""</f>
        <v/>
      </c>
      <c r="BY185" t="str">
        <f>""</f>
        <v/>
      </c>
      <c r="BZ185" t="str">
        <f>""</f>
        <v/>
      </c>
      <c r="CA185" t="str">
        <f>""</f>
        <v/>
      </c>
      <c r="CB185" t="str">
        <f>""</f>
        <v/>
      </c>
      <c r="CC185" t="str">
        <f>""</f>
        <v/>
      </c>
      <c r="CD185" t="str">
        <f>""</f>
        <v/>
      </c>
      <c r="CE185" t="str">
        <f>""</f>
        <v/>
      </c>
      <c r="CF185" t="str">
        <f>""</f>
        <v/>
      </c>
      <c r="CG185" t="str">
        <f>""</f>
        <v/>
      </c>
      <c r="CH185" t="str">
        <f>""</f>
        <v/>
      </c>
      <c r="CI185" t="str">
        <f>""</f>
        <v/>
      </c>
      <c r="CJ185" t="str">
        <f>""</f>
        <v/>
      </c>
      <c r="CK185" t="str">
        <f>""</f>
        <v/>
      </c>
      <c r="CL185" t="str">
        <f>""</f>
        <v/>
      </c>
      <c r="CM185" t="str">
        <f>""</f>
        <v/>
      </c>
      <c r="CN185" t="str">
        <f>""</f>
        <v/>
      </c>
      <c r="CO185" t="str">
        <f>""</f>
        <v/>
      </c>
      <c r="CP185" t="str">
        <f>""</f>
        <v/>
      </c>
      <c r="CQ185" t="str">
        <f>""</f>
        <v/>
      </c>
      <c r="CR185" t="str">
        <f>""</f>
        <v/>
      </c>
      <c r="CS185" t="str">
        <f>""</f>
        <v/>
      </c>
      <c r="CT185" t="str">
        <f>""</f>
        <v/>
      </c>
      <c r="CU185" t="str">
        <f>""</f>
        <v/>
      </c>
      <c r="CV185" t="str">
        <f>""</f>
        <v/>
      </c>
      <c r="CW185" t="str">
        <f>""</f>
        <v/>
      </c>
      <c r="CX185" t="str">
        <f>""</f>
        <v/>
      </c>
      <c r="CY185" t="str">
        <f>""</f>
        <v/>
      </c>
      <c r="CZ185" t="str">
        <f>""</f>
        <v/>
      </c>
      <c r="DA185" t="str">
        <f>""</f>
        <v/>
      </c>
      <c r="DB185" t="str">
        <f>""</f>
        <v/>
      </c>
      <c r="DC185" t="str">
        <f>""</f>
        <v/>
      </c>
      <c r="DD185" t="str">
        <f>""</f>
        <v/>
      </c>
      <c r="DE185" t="str">
        <f>""</f>
        <v/>
      </c>
      <c r="DF185" t="str">
        <f>""</f>
        <v/>
      </c>
      <c r="DG185" t="str">
        <f>""</f>
        <v/>
      </c>
      <c r="DH185" t="str">
        <f>""</f>
        <v/>
      </c>
      <c r="DI185" t="str">
        <f>""</f>
        <v/>
      </c>
      <c r="DJ185" t="str">
        <f>""</f>
        <v/>
      </c>
      <c r="DK185" t="str">
        <f>""</f>
        <v/>
      </c>
      <c r="DL185" t="str">
        <f>""</f>
        <v/>
      </c>
      <c r="DM185" t="str">
        <f>""</f>
        <v/>
      </c>
      <c r="DN185" t="str">
        <f>""</f>
        <v/>
      </c>
      <c r="DO185" t="str">
        <f>""</f>
        <v/>
      </c>
      <c r="DP185" t="str">
        <f>""</f>
        <v/>
      </c>
      <c r="DQ185" t="str">
        <f>""</f>
        <v/>
      </c>
      <c r="DR185" t="str">
        <f>""</f>
        <v/>
      </c>
      <c r="DS185" t="str">
        <f>""</f>
        <v/>
      </c>
      <c r="DT185" t="str">
        <f>""</f>
        <v/>
      </c>
      <c r="DU185" t="str">
        <f>""</f>
        <v/>
      </c>
    </row>
    <row r="186" spans="1:125" x14ac:dyDescent="0.25">
      <c r="A186" t="str">
        <f>$A$45</f>
        <v xml:space="preserve">                Zions Bancorp NA</v>
      </c>
      <c r="B186" t="str">
        <f>$B$45</f>
        <v>ZION US Equity</v>
      </c>
      <c r="C186" t="str">
        <f>$C$45</f>
        <v>FC471</v>
      </c>
      <c r="D186" t="str">
        <f>$D$45</f>
        <v>FDIC_SECS_AVAIL_FOR_SALE_MKT_VAL</v>
      </c>
      <c r="E186" t="str">
        <f>$E$45</f>
        <v>Dynamic</v>
      </c>
      <c r="F186">
        <f ca="1">_xll.BDH($B$45,$C$45,$B$143,$B$144,CONCATENATE("Per=",$B$141),"Dts=H","Dir=H",CONCATENATE("Points=",$B$142),"Sort=R","Days=A","Fill=B",CONCATENATE("FX=", $B$140),"cols=60;rows=1")</f>
        <v>9094.5779999999995</v>
      </c>
      <c r="G186">
        <v>9495.2469999999994</v>
      </c>
      <c r="H186">
        <v>9483</v>
      </c>
      <c r="I186">
        <v>9930.8469999999998</v>
      </c>
      <c r="J186">
        <v>10300.379999999999</v>
      </c>
      <c r="K186">
        <v>10147.437</v>
      </c>
      <c r="L186">
        <v>10831.843999999999</v>
      </c>
      <c r="M186">
        <v>11594.138000000001</v>
      </c>
      <c r="N186">
        <v>11914.977000000001</v>
      </c>
      <c r="O186">
        <v>23233.135999999999</v>
      </c>
      <c r="P186">
        <v>25297.168000000001</v>
      </c>
      <c r="Q186">
        <v>26145.45</v>
      </c>
      <c r="R186">
        <v>24048.121999999999</v>
      </c>
      <c r="S186">
        <v>20461.117999999999</v>
      </c>
      <c r="T186">
        <v>18170.403999999999</v>
      </c>
      <c r="U186">
        <v>16643.615000000002</v>
      </c>
      <c r="Y186">
        <v>14231.46</v>
      </c>
      <c r="BN186" t="str">
        <f>""</f>
        <v/>
      </c>
      <c r="BO186" t="str">
        <f>""</f>
        <v/>
      </c>
      <c r="BP186" t="str">
        <f>""</f>
        <v/>
      </c>
      <c r="BQ186" t="str">
        <f>""</f>
        <v/>
      </c>
      <c r="BR186" t="str">
        <f>""</f>
        <v/>
      </c>
      <c r="BS186" t="str">
        <f>""</f>
        <v/>
      </c>
      <c r="BT186" t="str">
        <f>""</f>
        <v/>
      </c>
      <c r="BU186" t="str">
        <f>""</f>
        <v/>
      </c>
      <c r="BV186" t="str">
        <f>""</f>
        <v/>
      </c>
      <c r="BW186" t="str">
        <f>""</f>
        <v/>
      </c>
      <c r="BX186" t="str">
        <f>""</f>
        <v/>
      </c>
      <c r="BY186" t="str">
        <f>""</f>
        <v/>
      </c>
      <c r="BZ186" t="str">
        <f>""</f>
        <v/>
      </c>
      <c r="CA186" t="str">
        <f>""</f>
        <v/>
      </c>
      <c r="CB186" t="str">
        <f>""</f>
        <v/>
      </c>
      <c r="CC186" t="str">
        <f>""</f>
        <v/>
      </c>
      <c r="CD186" t="str">
        <f>""</f>
        <v/>
      </c>
      <c r="CE186" t="str">
        <f>""</f>
        <v/>
      </c>
      <c r="CF186" t="str">
        <f>""</f>
        <v/>
      </c>
      <c r="CG186" t="str">
        <f>""</f>
        <v/>
      </c>
      <c r="CH186" t="str">
        <f>""</f>
        <v/>
      </c>
      <c r="CI186" t="str">
        <f>""</f>
        <v/>
      </c>
      <c r="CJ186" t="str">
        <f>""</f>
        <v/>
      </c>
      <c r="CK186" t="str">
        <f>""</f>
        <v/>
      </c>
      <c r="CL186" t="str">
        <f>""</f>
        <v/>
      </c>
      <c r="CM186" t="str">
        <f>""</f>
        <v/>
      </c>
      <c r="CN186" t="str">
        <f>""</f>
        <v/>
      </c>
      <c r="CO186" t="str">
        <f>""</f>
        <v/>
      </c>
      <c r="CP186" t="str">
        <f>""</f>
        <v/>
      </c>
      <c r="CQ186" t="str">
        <f>""</f>
        <v/>
      </c>
      <c r="CR186" t="str">
        <f>""</f>
        <v/>
      </c>
      <c r="CS186" t="str">
        <f>""</f>
        <v/>
      </c>
      <c r="CT186" t="str">
        <f>""</f>
        <v/>
      </c>
      <c r="CU186" t="str">
        <f>""</f>
        <v/>
      </c>
      <c r="CV186" t="str">
        <f>""</f>
        <v/>
      </c>
      <c r="CW186" t="str">
        <f>""</f>
        <v/>
      </c>
      <c r="CX186" t="str">
        <f>""</f>
        <v/>
      </c>
      <c r="CY186" t="str">
        <f>""</f>
        <v/>
      </c>
      <c r="CZ186" t="str">
        <f>""</f>
        <v/>
      </c>
      <c r="DA186" t="str">
        <f>""</f>
        <v/>
      </c>
      <c r="DB186" t="str">
        <f>""</f>
        <v/>
      </c>
      <c r="DC186" t="str">
        <f>""</f>
        <v/>
      </c>
      <c r="DD186" t="str">
        <f>""</f>
        <v/>
      </c>
      <c r="DE186" t="str">
        <f>""</f>
        <v/>
      </c>
      <c r="DF186" t="str">
        <f>""</f>
        <v/>
      </c>
      <c r="DG186" t="str">
        <f>""</f>
        <v/>
      </c>
      <c r="DH186" t="str">
        <f>""</f>
        <v/>
      </c>
      <c r="DI186" t="str">
        <f>""</f>
        <v/>
      </c>
      <c r="DJ186" t="str">
        <f>""</f>
        <v/>
      </c>
      <c r="DK186" t="str">
        <f>""</f>
        <v/>
      </c>
      <c r="DL186" t="str">
        <f>""</f>
        <v/>
      </c>
      <c r="DM186" t="str">
        <f>""</f>
        <v/>
      </c>
      <c r="DN186" t="str">
        <f>""</f>
        <v/>
      </c>
      <c r="DO186" t="str">
        <f>""</f>
        <v/>
      </c>
      <c r="DP186" t="str">
        <f>""</f>
        <v/>
      </c>
      <c r="DQ186" t="str">
        <f>""</f>
        <v/>
      </c>
      <c r="DR186" t="str">
        <f>""</f>
        <v/>
      </c>
      <c r="DS186" t="str">
        <f>""</f>
        <v/>
      </c>
      <c r="DT186" t="str">
        <f>""</f>
        <v/>
      </c>
      <c r="DU186" t="str">
        <f>""</f>
        <v/>
      </c>
    </row>
    <row r="187" spans="1:125" x14ac:dyDescent="0.25">
      <c r="A187" t="str">
        <f>$A$47</f>
        <v xml:space="preserve">                Bank of America Corp</v>
      </c>
      <c r="B187" t="str">
        <f>$B$47</f>
        <v>BAC US Equity</v>
      </c>
      <c r="C187" t="str">
        <f>$C$47</f>
        <v>FC023</v>
      </c>
      <c r="D187" t="str">
        <f>$D$47</f>
        <v>FDIC_TOTAL_SECURITIES</v>
      </c>
      <c r="E187" t="str">
        <f>$E$47</f>
        <v>Dynamic</v>
      </c>
      <c r="F187">
        <f ca="1">_xll.BDH($B$47,$C$47,$B$143,$B$144,CONCATENATE("Per=",$B$141),"Dts=H","Dir=H",CONCATENATE("Points=",$B$142),"Sort=R","Days=A","Fill=B",CONCATENATE("FX=", $B$140),"cols=60;rows=1")</f>
        <v>905145</v>
      </c>
      <c r="G187">
        <v>883308</v>
      </c>
      <c r="H187">
        <v>868697</v>
      </c>
      <c r="I187">
        <v>899971</v>
      </c>
      <c r="J187">
        <v>861240</v>
      </c>
      <c r="K187">
        <v>768975</v>
      </c>
      <c r="L187">
        <v>746154</v>
      </c>
      <c r="M187">
        <v>786938</v>
      </c>
      <c r="N187">
        <v>853651</v>
      </c>
      <c r="O187">
        <v>870083</v>
      </c>
      <c r="P187">
        <v>924538</v>
      </c>
      <c r="Q187">
        <v>961505</v>
      </c>
      <c r="R187">
        <v>973769</v>
      </c>
      <c r="S187">
        <v>958631</v>
      </c>
      <c r="T187">
        <v>929613</v>
      </c>
      <c r="U187">
        <v>846645</v>
      </c>
      <c r="V187">
        <v>672770</v>
      </c>
      <c r="W187">
        <v>572111</v>
      </c>
      <c r="X187">
        <v>459399</v>
      </c>
      <c r="Y187">
        <v>460985</v>
      </c>
      <c r="Z187">
        <v>461369</v>
      </c>
      <c r="AA187">
        <v>435124</v>
      </c>
      <c r="AB187">
        <v>435960</v>
      </c>
      <c r="AC187">
        <v>430330</v>
      </c>
      <c r="AD187">
        <v>433018</v>
      </c>
      <c r="AE187">
        <v>433520</v>
      </c>
      <c r="AF187">
        <v>425132</v>
      </c>
      <c r="AG187">
        <v>413899</v>
      </c>
      <c r="AH187">
        <v>429902</v>
      </c>
      <c r="AI187">
        <v>423778</v>
      </c>
      <c r="AJ187">
        <v>420195</v>
      </c>
      <c r="AK187">
        <v>413772</v>
      </c>
      <c r="AL187">
        <v>413448</v>
      </c>
      <c r="AM187">
        <v>415438</v>
      </c>
      <c r="AN187">
        <v>392814</v>
      </c>
      <c r="AO187">
        <v>383216</v>
      </c>
      <c r="AP187">
        <v>391760</v>
      </c>
      <c r="AQ187">
        <v>365598</v>
      </c>
      <c r="AR187">
        <v>358543</v>
      </c>
      <c r="AS187">
        <v>349939</v>
      </c>
      <c r="AT187">
        <v>345799</v>
      </c>
      <c r="AU187">
        <v>328168</v>
      </c>
      <c r="AV187">
        <v>312561</v>
      </c>
      <c r="AW187">
        <v>307532</v>
      </c>
      <c r="AX187">
        <v>293403</v>
      </c>
      <c r="AY187">
        <v>292113</v>
      </c>
      <c r="AZ187">
        <v>298149</v>
      </c>
      <c r="BA187">
        <v>315872</v>
      </c>
      <c r="BB187">
        <v>341111.05300000001</v>
      </c>
      <c r="BC187">
        <v>351167.05800000002</v>
      </c>
      <c r="BD187">
        <v>340434.59499999997</v>
      </c>
      <c r="BE187">
        <v>336343.68599999999</v>
      </c>
      <c r="BF187">
        <v>323163.19699999999</v>
      </c>
      <c r="BG187">
        <v>359901.06699999998</v>
      </c>
      <c r="BH187">
        <v>351463.11200000002</v>
      </c>
      <c r="BI187">
        <v>352800.7</v>
      </c>
      <c r="BJ187">
        <v>360815.92200000002</v>
      </c>
      <c r="BK187">
        <v>345242.201</v>
      </c>
      <c r="BL187">
        <v>319691.511</v>
      </c>
      <c r="BM187">
        <v>326405.44300000003</v>
      </c>
      <c r="BN187" t="str">
        <f>""</f>
        <v/>
      </c>
      <c r="BO187" t="str">
        <f>""</f>
        <v/>
      </c>
      <c r="BP187" t="str">
        <f>""</f>
        <v/>
      </c>
      <c r="BQ187" t="str">
        <f>""</f>
        <v/>
      </c>
      <c r="BR187" t="str">
        <f>""</f>
        <v/>
      </c>
      <c r="BS187" t="str">
        <f>""</f>
        <v/>
      </c>
      <c r="BT187" t="str">
        <f>""</f>
        <v/>
      </c>
      <c r="BU187" t="str">
        <f>""</f>
        <v/>
      </c>
      <c r="BV187" t="str">
        <f>""</f>
        <v/>
      </c>
      <c r="BW187" t="str">
        <f>""</f>
        <v/>
      </c>
      <c r="BX187" t="str">
        <f>""</f>
        <v/>
      </c>
      <c r="BY187" t="str">
        <f>""</f>
        <v/>
      </c>
      <c r="BZ187" t="str">
        <f>""</f>
        <v/>
      </c>
      <c r="CA187" t="str">
        <f>""</f>
        <v/>
      </c>
      <c r="CB187" t="str">
        <f>""</f>
        <v/>
      </c>
      <c r="CC187" t="str">
        <f>""</f>
        <v/>
      </c>
      <c r="CD187" t="str">
        <f>""</f>
        <v/>
      </c>
      <c r="CE187" t="str">
        <f>""</f>
        <v/>
      </c>
      <c r="CF187" t="str">
        <f>""</f>
        <v/>
      </c>
      <c r="CG187" t="str">
        <f>""</f>
        <v/>
      </c>
      <c r="CH187" t="str">
        <f>""</f>
        <v/>
      </c>
      <c r="CI187" t="str">
        <f>""</f>
        <v/>
      </c>
      <c r="CJ187" t="str">
        <f>""</f>
        <v/>
      </c>
      <c r="CK187" t="str">
        <f>""</f>
        <v/>
      </c>
      <c r="CL187" t="str">
        <f>""</f>
        <v/>
      </c>
      <c r="CM187" t="str">
        <f>""</f>
        <v/>
      </c>
      <c r="CN187" t="str">
        <f>""</f>
        <v/>
      </c>
      <c r="CO187" t="str">
        <f>""</f>
        <v/>
      </c>
      <c r="CP187" t="str">
        <f>""</f>
        <v/>
      </c>
      <c r="CQ187" t="str">
        <f>""</f>
        <v/>
      </c>
      <c r="CR187" t="str">
        <f>""</f>
        <v/>
      </c>
      <c r="CS187" t="str">
        <f>""</f>
        <v/>
      </c>
      <c r="CT187" t="str">
        <f>""</f>
        <v/>
      </c>
      <c r="CU187" t="str">
        <f>""</f>
        <v/>
      </c>
      <c r="CV187" t="str">
        <f>""</f>
        <v/>
      </c>
      <c r="CW187" t="str">
        <f>""</f>
        <v/>
      </c>
      <c r="CX187" t="str">
        <f>""</f>
        <v/>
      </c>
      <c r="CY187" t="str">
        <f>""</f>
        <v/>
      </c>
      <c r="CZ187" t="str">
        <f>""</f>
        <v/>
      </c>
      <c r="DA187" t="str">
        <f>""</f>
        <v/>
      </c>
      <c r="DB187" t="str">
        <f>""</f>
        <v/>
      </c>
      <c r="DC187" t="str">
        <f>""</f>
        <v/>
      </c>
      <c r="DD187" t="str">
        <f>""</f>
        <v/>
      </c>
      <c r="DE187" t="str">
        <f>""</f>
        <v/>
      </c>
      <c r="DF187" t="str">
        <f>""</f>
        <v/>
      </c>
      <c r="DG187" t="str">
        <f>""</f>
        <v/>
      </c>
      <c r="DH187" t="str">
        <f>""</f>
        <v/>
      </c>
      <c r="DI187" t="str">
        <f>""</f>
        <v/>
      </c>
      <c r="DJ187" t="str">
        <f>""</f>
        <v/>
      </c>
      <c r="DK187" t="str">
        <f>""</f>
        <v/>
      </c>
      <c r="DL187" t="str">
        <f>""</f>
        <v/>
      </c>
      <c r="DM187" t="str">
        <f>""</f>
        <v/>
      </c>
      <c r="DN187" t="str">
        <f>""</f>
        <v/>
      </c>
      <c r="DO187" t="str">
        <f>""</f>
        <v/>
      </c>
      <c r="DP187" t="str">
        <f>""</f>
        <v/>
      </c>
      <c r="DQ187" t="str">
        <f>""</f>
        <v/>
      </c>
      <c r="DR187" t="str">
        <f>""</f>
        <v/>
      </c>
      <c r="DS187" t="str">
        <f>""</f>
        <v/>
      </c>
      <c r="DT187" t="str">
        <f>""</f>
        <v/>
      </c>
      <c r="DU187" t="str">
        <f>""</f>
        <v/>
      </c>
    </row>
    <row r="188" spans="1:125" x14ac:dyDescent="0.25">
      <c r="A188" t="str">
        <f>$A$48</f>
        <v xml:space="preserve">                Citigroup Inc</v>
      </c>
      <c r="B188" t="str">
        <f>$B$48</f>
        <v>C US Equity</v>
      </c>
      <c r="C188" t="str">
        <f>$C$48</f>
        <v>FC023</v>
      </c>
      <c r="D188" t="str">
        <f>$D$48</f>
        <v>FDIC_TOTAL_SECURITIES</v>
      </c>
      <c r="E188" t="str">
        <f>$E$48</f>
        <v>Dynamic</v>
      </c>
      <c r="F188">
        <f ca="1">_xll.BDH($B$48,$C$48,$B$143,$B$144,CONCATENATE("Per=",$B$141),"Dts=H","Dir=H",CONCATENATE("Points=",$B$142),"Sort=R","Days=A","Fill=B",CONCATENATE("FX=", $B$140),"cols=60;rows=1")</f>
        <v>465508</v>
      </c>
      <c r="G188">
        <v>478511</v>
      </c>
      <c r="H188">
        <v>495274</v>
      </c>
      <c r="I188">
        <v>501713</v>
      </c>
      <c r="J188">
        <v>504540</v>
      </c>
      <c r="K188">
        <v>494484</v>
      </c>
      <c r="L188">
        <v>493404</v>
      </c>
      <c r="M188">
        <v>499775</v>
      </c>
      <c r="N188">
        <v>514469</v>
      </c>
      <c r="O188">
        <v>496366</v>
      </c>
      <c r="P188">
        <v>501261</v>
      </c>
      <c r="Q188">
        <v>502719</v>
      </c>
      <c r="R188">
        <v>500695</v>
      </c>
      <c r="S188">
        <v>488438</v>
      </c>
      <c r="T188">
        <v>474140</v>
      </c>
      <c r="U188">
        <v>461100</v>
      </c>
      <c r="V188">
        <v>435247</v>
      </c>
      <c r="W188">
        <v>435324</v>
      </c>
      <c r="X188">
        <v>421075</v>
      </c>
      <c r="Y188">
        <v>386541</v>
      </c>
      <c r="Z188">
        <v>356598</v>
      </c>
      <c r="AA188">
        <v>347360</v>
      </c>
      <c r="AB188">
        <v>337939</v>
      </c>
      <c r="AC188">
        <v>338302</v>
      </c>
      <c r="AD188">
        <v>347423</v>
      </c>
      <c r="AE188">
        <v>334116</v>
      </c>
      <c r="AF188">
        <v>338342</v>
      </c>
      <c r="AG188">
        <v>343850</v>
      </c>
      <c r="AH188">
        <v>343936</v>
      </c>
      <c r="AI188">
        <v>346504</v>
      </c>
      <c r="AJ188">
        <v>343534</v>
      </c>
      <c r="AK188">
        <v>337924</v>
      </c>
      <c r="AL188">
        <v>344835</v>
      </c>
      <c r="AM188">
        <v>346121</v>
      </c>
      <c r="AN188">
        <v>348144</v>
      </c>
      <c r="AO188">
        <v>345133</v>
      </c>
      <c r="AP188">
        <v>335351</v>
      </c>
      <c r="AQ188">
        <v>336057</v>
      </c>
      <c r="AR188">
        <v>325736</v>
      </c>
      <c r="AS188">
        <v>319990</v>
      </c>
      <c r="AT188">
        <v>324064</v>
      </c>
      <c r="AU188">
        <v>322716</v>
      </c>
      <c r="AV188">
        <v>314908</v>
      </c>
      <c r="AW188">
        <v>301537</v>
      </c>
      <c r="AX188">
        <v>297110</v>
      </c>
      <c r="AY188">
        <v>290685</v>
      </c>
      <c r="AZ188">
        <v>286980</v>
      </c>
      <c r="BA188">
        <v>291805</v>
      </c>
      <c r="BB188">
        <v>298825</v>
      </c>
      <c r="BC188">
        <v>282204</v>
      </c>
      <c r="BD188">
        <v>290935</v>
      </c>
      <c r="BE188">
        <v>280709</v>
      </c>
      <c r="BF188">
        <v>276687</v>
      </c>
      <c r="BG188">
        <v>271227</v>
      </c>
      <c r="BH188">
        <v>292741</v>
      </c>
      <c r="BI188">
        <v>310122</v>
      </c>
      <c r="BJ188">
        <v>303529</v>
      </c>
      <c r="BK188">
        <v>326634</v>
      </c>
      <c r="BL188">
        <v>301870</v>
      </c>
      <c r="BM188">
        <v>301647</v>
      </c>
      <c r="BN188" t="str">
        <f>""</f>
        <v/>
      </c>
      <c r="BO188" t="str">
        <f>""</f>
        <v/>
      </c>
      <c r="BP188" t="str">
        <f>""</f>
        <v/>
      </c>
      <c r="BQ188" t="str">
        <f>""</f>
        <v/>
      </c>
      <c r="BR188" t="str">
        <f>""</f>
        <v/>
      </c>
      <c r="BS188" t="str">
        <f>""</f>
        <v/>
      </c>
      <c r="BT188" t="str">
        <f>""</f>
        <v/>
      </c>
      <c r="BU188" t="str">
        <f>""</f>
        <v/>
      </c>
      <c r="BV188" t="str">
        <f>""</f>
        <v/>
      </c>
      <c r="BW188" t="str">
        <f>""</f>
        <v/>
      </c>
      <c r="BX188" t="str">
        <f>""</f>
        <v/>
      </c>
      <c r="BY188" t="str">
        <f>""</f>
        <v/>
      </c>
      <c r="BZ188" t="str">
        <f>""</f>
        <v/>
      </c>
      <c r="CA188" t="str">
        <f>""</f>
        <v/>
      </c>
      <c r="CB188" t="str">
        <f>""</f>
        <v/>
      </c>
      <c r="CC188" t="str">
        <f>""</f>
        <v/>
      </c>
      <c r="CD188" t="str">
        <f>""</f>
        <v/>
      </c>
      <c r="CE188" t="str">
        <f>""</f>
        <v/>
      </c>
      <c r="CF188" t="str">
        <f>""</f>
        <v/>
      </c>
      <c r="CG188" t="str">
        <f>""</f>
        <v/>
      </c>
      <c r="CH188" t="str">
        <f>""</f>
        <v/>
      </c>
      <c r="CI188" t="str">
        <f>""</f>
        <v/>
      </c>
      <c r="CJ188" t="str">
        <f>""</f>
        <v/>
      </c>
      <c r="CK188" t="str">
        <f>""</f>
        <v/>
      </c>
      <c r="CL188" t="str">
        <f>""</f>
        <v/>
      </c>
      <c r="CM188" t="str">
        <f>""</f>
        <v/>
      </c>
      <c r="CN188" t="str">
        <f>""</f>
        <v/>
      </c>
      <c r="CO188" t="str">
        <f>""</f>
        <v/>
      </c>
      <c r="CP188" t="str">
        <f>""</f>
        <v/>
      </c>
      <c r="CQ188" t="str">
        <f>""</f>
        <v/>
      </c>
      <c r="CR188" t="str">
        <f>""</f>
        <v/>
      </c>
      <c r="CS188" t="str">
        <f>""</f>
        <v/>
      </c>
      <c r="CT188" t="str">
        <f>""</f>
        <v/>
      </c>
      <c r="CU188" t="str">
        <f>""</f>
        <v/>
      </c>
      <c r="CV188" t="str">
        <f>""</f>
        <v/>
      </c>
      <c r="CW188" t="str">
        <f>""</f>
        <v/>
      </c>
      <c r="CX188" t="str">
        <f>""</f>
        <v/>
      </c>
      <c r="CY188" t="str">
        <f>""</f>
        <v/>
      </c>
      <c r="CZ188" t="str">
        <f>""</f>
        <v/>
      </c>
      <c r="DA188" t="str">
        <f>""</f>
        <v/>
      </c>
      <c r="DB188" t="str">
        <f>""</f>
        <v/>
      </c>
      <c r="DC188" t="str">
        <f>""</f>
        <v/>
      </c>
      <c r="DD188" t="str">
        <f>""</f>
        <v/>
      </c>
      <c r="DE188" t="str">
        <f>""</f>
        <v/>
      </c>
      <c r="DF188" t="str">
        <f>""</f>
        <v/>
      </c>
      <c r="DG188" t="str">
        <f>""</f>
        <v/>
      </c>
      <c r="DH188" t="str">
        <f>""</f>
        <v/>
      </c>
      <c r="DI188" t="str">
        <f>""</f>
        <v/>
      </c>
      <c r="DJ188" t="str">
        <f>""</f>
        <v/>
      </c>
      <c r="DK188" t="str">
        <f>""</f>
        <v/>
      </c>
      <c r="DL188" t="str">
        <f>""</f>
        <v/>
      </c>
      <c r="DM188" t="str">
        <f>""</f>
        <v/>
      </c>
      <c r="DN188" t="str">
        <f>""</f>
        <v/>
      </c>
      <c r="DO188" t="str">
        <f>""</f>
        <v/>
      </c>
      <c r="DP188" t="str">
        <f>""</f>
        <v/>
      </c>
      <c r="DQ188" t="str">
        <f>""</f>
        <v/>
      </c>
      <c r="DR188" t="str">
        <f>""</f>
        <v/>
      </c>
      <c r="DS188" t="str">
        <f>""</f>
        <v/>
      </c>
      <c r="DT188" t="str">
        <f>""</f>
        <v/>
      </c>
      <c r="DU188" t="str">
        <f>""</f>
        <v/>
      </c>
    </row>
    <row r="189" spans="1:125" x14ac:dyDescent="0.25">
      <c r="A189" t="str">
        <f>$A$49</f>
        <v xml:space="preserve">                Citizens Financial Group Inc</v>
      </c>
      <c r="B189" t="str">
        <f>$B$49</f>
        <v>CFG US Equity</v>
      </c>
      <c r="C189" t="str">
        <f>$C$49</f>
        <v>FC023</v>
      </c>
      <c r="D189" t="str">
        <f>$D$49</f>
        <v>FDIC_TOTAL_SECURITIES</v>
      </c>
      <c r="E189" t="str">
        <f>$E$49</f>
        <v>Dynamic</v>
      </c>
      <c r="F189">
        <f ca="1">_xll.BDH($B$49,$C$49,$B$143,$B$144,CONCATENATE("Per=",$B$141),"Dts=H","Dir=H",CONCATENATE("Points=",$B$142),"Sort=R","Days=A","Fill=B",CONCATENATE("FX=", $B$140),"cols=60;rows=1")</f>
        <v>41363.311999999998</v>
      </c>
      <c r="G189">
        <v>41572.173999999999</v>
      </c>
      <c r="H189">
        <v>40832.866000000002</v>
      </c>
      <c r="I189">
        <v>40240.652999999998</v>
      </c>
      <c r="J189">
        <v>38961.627999999997</v>
      </c>
      <c r="K189">
        <v>34388.171999999999</v>
      </c>
      <c r="L189">
        <v>34274.574999999997</v>
      </c>
      <c r="M189">
        <v>33521.599000000002</v>
      </c>
      <c r="N189">
        <v>33841.078999999998</v>
      </c>
      <c r="O189">
        <v>33548.241999999998</v>
      </c>
      <c r="P189">
        <v>34528.714</v>
      </c>
      <c r="Q189">
        <v>27374.429</v>
      </c>
      <c r="R189">
        <v>28309.072</v>
      </c>
      <c r="S189">
        <v>27402.473000000002</v>
      </c>
      <c r="T189">
        <v>27294.022000000001</v>
      </c>
      <c r="U189">
        <v>27461.325000000001</v>
      </c>
      <c r="V189">
        <v>26176.912</v>
      </c>
      <c r="W189">
        <v>25461.918000000001</v>
      </c>
      <c r="X189">
        <v>24999.234</v>
      </c>
      <c r="Y189">
        <v>25378.565999999999</v>
      </c>
      <c r="Z189">
        <v>23814.393</v>
      </c>
      <c r="AA189">
        <v>24821.269</v>
      </c>
      <c r="AB189">
        <v>25144.633000000002</v>
      </c>
      <c r="AC189">
        <v>24849.383999999998</v>
      </c>
      <c r="AD189">
        <v>24059.873</v>
      </c>
      <c r="AE189">
        <v>24436.125</v>
      </c>
      <c r="AF189">
        <v>24573.613000000001</v>
      </c>
      <c r="AG189">
        <v>24513.331999999999</v>
      </c>
      <c r="AH189">
        <v>24842.077000000001</v>
      </c>
      <c r="AI189">
        <v>24805.141</v>
      </c>
      <c r="AJ189">
        <v>24224.328000000001</v>
      </c>
      <c r="AK189">
        <v>24955.706999999999</v>
      </c>
      <c r="AL189">
        <v>24554.921999999999</v>
      </c>
      <c r="AM189">
        <v>24697.087</v>
      </c>
      <c r="AN189">
        <v>23434.191999999999</v>
      </c>
      <c r="AO189">
        <v>23075.605</v>
      </c>
      <c r="AP189">
        <v>23124.628000000001</v>
      </c>
      <c r="AQ189">
        <v>23464.305</v>
      </c>
      <c r="AR189">
        <v>24212.543000000001</v>
      </c>
      <c r="AS189">
        <v>24201.419000000002</v>
      </c>
      <c r="AT189">
        <v>23786.697</v>
      </c>
      <c r="AU189">
        <v>23938.508000000002</v>
      </c>
      <c r="AV189">
        <v>23857.657999999999</v>
      </c>
      <c r="AW189">
        <v>23852.205999999998</v>
      </c>
      <c r="AX189">
        <v>20293.008000000002</v>
      </c>
      <c r="AY189">
        <v>19871.34</v>
      </c>
      <c r="AZ189">
        <v>16416.563999999998</v>
      </c>
      <c r="BA189">
        <v>17054.381000000001</v>
      </c>
      <c r="BB189">
        <v>18343.530999999999</v>
      </c>
      <c r="BC189">
        <v>20256.066999999999</v>
      </c>
      <c r="BD189">
        <v>21082.25</v>
      </c>
      <c r="BE189">
        <v>21695.455999999998</v>
      </c>
      <c r="BF189">
        <v>22137.342000000001</v>
      </c>
      <c r="BG189">
        <v>20891.615000000002</v>
      </c>
      <c r="BH189">
        <v>21776.703000000001</v>
      </c>
      <c r="BI189">
        <v>22552.112000000001</v>
      </c>
      <c r="BJ189">
        <v>20534.542000000001</v>
      </c>
      <c r="BK189">
        <v>19260.206999999999</v>
      </c>
      <c r="BL189">
        <v>25607.01</v>
      </c>
      <c r="BM189">
        <v>26698.536</v>
      </c>
      <c r="BN189" t="str">
        <f>""</f>
        <v/>
      </c>
      <c r="BO189" t="str">
        <f>""</f>
        <v/>
      </c>
      <c r="BP189" t="str">
        <f>""</f>
        <v/>
      </c>
      <c r="BQ189" t="str">
        <f>""</f>
        <v/>
      </c>
      <c r="BR189" t="str">
        <f>""</f>
        <v/>
      </c>
      <c r="BS189" t="str">
        <f>""</f>
        <v/>
      </c>
      <c r="BT189" t="str">
        <f>""</f>
        <v/>
      </c>
      <c r="BU189" t="str">
        <f>""</f>
        <v/>
      </c>
      <c r="BV189" t="str">
        <f>""</f>
        <v/>
      </c>
      <c r="BW189" t="str">
        <f>""</f>
        <v/>
      </c>
      <c r="BX189" t="str">
        <f>""</f>
        <v/>
      </c>
      <c r="BY189" t="str">
        <f>""</f>
        <v/>
      </c>
      <c r="BZ189" t="str">
        <f>""</f>
        <v/>
      </c>
      <c r="CA189" t="str">
        <f>""</f>
        <v/>
      </c>
      <c r="CB189" t="str">
        <f>""</f>
        <v/>
      </c>
      <c r="CC189" t="str">
        <f>""</f>
        <v/>
      </c>
      <c r="CD189" t="str">
        <f>""</f>
        <v/>
      </c>
      <c r="CE189" t="str">
        <f>""</f>
        <v/>
      </c>
      <c r="CF189" t="str">
        <f>""</f>
        <v/>
      </c>
      <c r="CG189" t="str">
        <f>""</f>
        <v/>
      </c>
      <c r="CH189" t="str">
        <f>""</f>
        <v/>
      </c>
      <c r="CI189" t="str">
        <f>""</f>
        <v/>
      </c>
      <c r="CJ189" t="str">
        <f>""</f>
        <v/>
      </c>
      <c r="CK189" t="str">
        <f>""</f>
        <v/>
      </c>
      <c r="CL189" t="str">
        <f>""</f>
        <v/>
      </c>
      <c r="CM189" t="str">
        <f>""</f>
        <v/>
      </c>
      <c r="CN189" t="str">
        <f>""</f>
        <v/>
      </c>
      <c r="CO189" t="str">
        <f>""</f>
        <v/>
      </c>
      <c r="CP189" t="str">
        <f>""</f>
        <v/>
      </c>
      <c r="CQ189" t="str">
        <f>""</f>
        <v/>
      </c>
      <c r="CR189" t="str">
        <f>""</f>
        <v/>
      </c>
      <c r="CS189" t="str">
        <f>""</f>
        <v/>
      </c>
      <c r="CT189" t="str">
        <f>""</f>
        <v/>
      </c>
      <c r="CU189" t="str">
        <f>""</f>
        <v/>
      </c>
      <c r="CV189" t="str">
        <f>""</f>
        <v/>
      </c>
      <c r="CW189" t="str">
        <f>""</f>
        <v/>
      </c>
      <c r="CX189" t="str">
        <f>""</f>
        <v/>
      </c>
      <c r="CY189" t="str">
        <f>""</f>
        <v/>
      </c>
      <c r="CZ189" t="str">
        <f>""</f>
        <v/>
      </c>
      <c r="DA189" t="str">
        <f>""</f>
        <v/>
      </c>
      <c r="DB189" t="str">
        <f>""</f>
        <v/>
      </c>
      <c r="DC189" t="str">
        <f>""</f>
        <v/>
      </c>
      <c r="DD189" t="str">
        <f>""</f>
        <v/>
      </c>
      <c r="DE189" t="str">
        <f>""</f>
        <v/>
      </c>
      <c r="DF189" t="str">
        <f>""</f>
        <v/>
      </c>
      <c r="DG189" t="str">
        <f>""</f>
        <v/>
      </c>
      <c r="DH189" t="str">
        <f>""</f>
        <v/>
      </c>
      <c r="DI189" t="str">
        <f>""</f>
        <v/>
      </c>
      <c r="DJ189" t="str">
        <f>""</f>
        <v/>
      </c>
      <c r="DK189" t="str">
        <f>""</f>
        <v/>
      </c>
      <c r="DL189" t="str">
        <f>""</f>
        <v/>
      </c>
      <c r="DM189" t="str">
        <f>""</f>
        <v/>
      </c>
      <c r="DN189" t="str">
        <f>""</f>
        <v/>
      </c>
      <c r="DO189" t="str">
        <f>""</f>
        <v/>
      </c>
      <c r="DP189" t="str">
        <f>""</f>
        <v/>
      </c>
      <c r="DQ189" t="str">
        <f>""</f>
        <v/>
      </c>
      <c r="DR189" t="str">
        <f>""</f>
        <v/>
      </c>
      <c r="DS189" t="str">
        <f>""</f>
        <v/>
      </c>
      <c r="DT189" t="str">
        <f>""</f>
        <v/>
      </c>
      <c r="DU189" t="str">
        <f>""</f>
        <v/>
      </c>
    </row>
    <row r="190" spans="1:125" x14ac:dyDescent="0.25">
      <c r="A190" t="str">
        <f>$A$50</f>
        <v xml:space="preserve">                Capital One Financial Corp</v>
      </c>
      <c r="B190" t="str">
        <f>$B$50</f>
        <v>COF US Equity</v>
      </c>
      <c r="C190" t="str">
        <f>$C$50</f>
        <v>FC023</v>
      </c>
      <c r="D190" t="str">
        <f>$D$50</f>
        <v>FDIC_TOTAL_SECURITIES</v>
      </c>
      <c r="E190" t="str">
        <f>$E$50</f>
        <v>Dynamic</v>
      </c>
      <c r="F190">
        <f ca="1">_xll.BDH($B$50,$C$50,$B$143,$B$144,CONCATENATE("Per=",$B$141),"Dts=H","Dir=H",CONCATENATE("Points=",$B$142),"Sort=R","Days=A","Fill=B",CONCATENATE("FX=", $B$140),"cols=60;rows=1")</f>
        <v>83013.192999999999</v>
      </c>
      <c r="G190">
        <v>83500.428</v>
      </c>
      <c r="H190">
        <v>79250.093999999997</v>
      </c>
      <c r="I190">
        <v>78397.607000000004</v>
      </c>
      <c r="J190">
        <v>79116.904999999999</v>
      </c>
      <c r="K190">
        <v>74837.17</v>
      </c>
      <c r="L190">
        <v>78411.740999999995</v>
      </c>
      <c r="M190">
        <v>81925.274000000005</v>
      </c>
      <c r="N190">
        <v>76918.626999999993</v>
      </c>
      <c r="O190">
        <v>75302.820999999996</v>
      </c>
      <c r="P190">
        <v>83022.126999999993</v>
      </c>
      <c r="Q190">
        <v>89076.012000000002</v>
      </c>
      <c r="R190">
        <v>95260.739000000001</v>
      </c>
      <c r="S190">
        <v>98148.701000000001</v>
      </c>
      <c r="T190">
        <v>101765.87699999999</v>
      </c>
      <c r="U190">
        <v>99165.066999999995</v>
      </c>
      <c r="V190">
        <v>100444.936</v>
      </c>
      <c r="W190">
        <v>99852.72</v>
      </c>
      <c r="X190">
        <v>87858.527000000002</v>
      </c>
      <c r="Y190">
        <v>81423.326000000001</v>
      </c>
      <c r="Z190">
        <v>79213.357999999993</v>
      </c>
      <c r="AA190">
        <v>80111.137000000002</v>
      </c>
      <c r="AB190">
        <v>81133.240999999995</v>
      </c>
      <c r="AC190">
        <v>82391.316000000006</v>
      </c>
      <c r="AD190">
        <v>82920.531000000003</v>
      </c>
      <c r="AE190">
        <v>82015.797999999995</v>
      </c>
      <c r="AF190">
        <v>84155.271999999997</v>
      </c>
      <c r="AG190">
        <v>70227.331000000006</v>
      </c>
      <c r="AH190">
        <v>66742.240000000005</v>
      </c>
      <c r="AI190">
        <v>68461.244999999995</v>
      </c>
      <c r="AJ190">
        <v>68907.047000000006</v>
      </c>
      <c r="AK190">
        <v>67493.002999999997</v>
      </c>
      <c r="AL190">
        <v>66512.264999999999</v>
      </c>
      <c r="AM190">
        <v>66586.088000000003</v>
      </c>
      <c r="AN190">
        <v>65079.207999999999</v>
      </c>
      <c r="AO190">
        <v>65170.180999999997</v>
      </c>
      <c r="AP190">
        <v>63678.411</v>
      </c>
      <c r="AQ190">
        <v>63141.970999999998</v>
      </c>
      <c r="AR190">
        <v>62802.673999999999</v>
      </c>
      <c r="AS190">
        <v>62559.735000000001</v>
      </c>
      <c r="AT190">
        <v>62006.911</v>
      </c>
      <c r="AU190">
        <v>61845.754999999997</v>
      </c>
      <c r="AV190">
        <v>61799.271999999997</v>
      </c>
      <c r="AW190">
        <v>60868.821000000004</v>
      </c>
      <c r="AX190">
        <v>60929.675000000003</v>
      </c>
      <c r="AY190">
        <v>61406.349000000002</v>
      </c>
      <c r="AZ190">
        <v>62600.260999999999</v>
      </c>
      <c r="BA190">
        <v>64119.396999999997</v>
      </c>
      <c r="BB190">
        <v>64071.09</v>
      </c>
      <c r="BC190">
        <v>61590.953999999998</v>
      </c>
      <c r="BD190">
        <v>55397.64</v>
      </c>
      <c r="BE190">
        <v>60881.072</v>
      </c>
      <c r="BF190">
        <v>38751.586000000003</v>
      </c>
      <c r="BG190">
        <v>38537.264999999999</v>
      </c>
      <c r="BH190">
        <v>39467.294999999998</v>
      </c>
      <c r="BI190">
        <v>41559.788999999997</v>
      </c>
      <c r="BJ190">
        <v>41530.574000000001</v>
      </c>
      <c r="BK190">
        <v>40074.542999999998</v>
      </c>
      <c r="BL190">
        <v>39566.559000000001</v>
      </c>
      <c r="BM190">
        <v>38247.607000000004</v>
      </c>
      <c r="BN190" t="str">
        <f>""</f>
        <v/>
      </c>
      <c r="BO190" t="str">
        <f>""</f>
        <v/>
      </c>
      <c r="BP190" t="str">
        <f>""</f>
        <v/>
      </c>
      <c r="BQ190" t="str">
        <f>""</f>
        <v/>
      </c>
      <c r="BR190" t="str">
        <f>""</f>
        <v/>
      </c>
      <c r="BS190" t="str">
        <f>""</f>
        <v/>
      </c>
      <c r="BT190" t="str">
        <f>""</f>
        <v/>
      </c>
      <c r="BU190" t="str">
        <f>""</f>
        <v/>
      </c>
      <c r="BV190" t="str">
        <f>""</f>
        <v/>
      </c>
      <c r="BW190" t="str">
        <f>""</f>
        <v/>
      </c>
      <c r="BX190" t="str">
        <f>""</f>
        <v/>
      </c>
      <c r="BY190" t="str">
        <f>""</f>
        <v/>
      </c>
      <c r="BZ190" t="str">
        <f>""</f>
        <v/>
      </c>
      <c r="CA190" t="str">
        <f>""</f>
        <v/>
      </c>
      <c r="CB190" t="str">
        <f>""</f>
        <v/>
      </c>
      <c r="CC190" t="str">
        <f>""</f>
        <v/>
      </c>
      <c r="CD190" t="str">
        <f>""</f>
        <v/>
      </c>
      <c r="CE190" t="str">
        <f>""</f>
        <v/>
      </c>
      <c r="CF190" t="str">
        <f>""</f>
        <v/>
      </c>
      <c r="CG190" t="str">
        <f>""</f>
        <v/>
      </c>
      <c r="CH190" t="str">
        <f>""</f>
        <v/>
      </c>
      <c r="CI190" t="str">
        <f>""</f>
        <v/>
      </c>
      <c r="CJ190" t="str">
        <f>""</f>
        <v/>
      </c>
      <c r="CK190" t="str">
        <f>""</f>
        <v/>
      </c>
      <c r="CL190" t="str">
        <f>""</f>
        <v/>
      </c>
      <c r="CM190" t="str">
        <f>""</f>
        <v/>
      </c>
      <c r="CN190" t="str">
        <f>""</f>
        <v/>
      </c>
      <c r="CO190" t="str">
        <f>""</f>
        <v/>
      </c>
      <c r="CP190" t="str">
        <f>""</f>
        <v/>
      </c>
      <c r="CQ190" t="str">
        <f>""</f>
        <v/>
      </c>
      <c r="CR190" t="str">
        <f>""</f>
        <v/>
      </c>
      <c r="CS190" t="str">
        <f>""</f>
        <v/>
      </c>
      <c r="CT190" t="str">
        <f>""</f>
        <v/>
      </c>
      <c r="CU190" t="str">
        <f>""</f>
        <v/>
      </c>
      <c r="CV190" t="str">
        <f>""</f>
        <v/>
      </c>
      <c r="CW190" t="str">
        <f>""</f>
        <v/>
      </c>
      <c r="CX190" t="str">
        <f>""</f>
        <v/>
      </c>
      <c r="CY190" t="str">
        <f>""</f>
        <v/>
      </c>
      <c r="CZ190" t="str">
        <f>""</f>
        <v/>
      </c>
      <c r="DA190" t="str">
        <f>""</f>
        <v/>
      </c>
      <c r="DB190" t="str">
        <f>""</f>
        <v/>
      </c>
      <c r="DC190" t="str">
        <f>""</f>
        <v/>
      </c>
      <c r="DD190" t="str">
        <f>""</f>
        <v/>
      </c>
      <c r="DE190" t="str">
        <f>""</f>
        <v/>
      </c>
      <c r="DF190" t="str">
        <f>""</f>
        <v/>
      </c>
      <c r="DG190" t="str">
        <f>""</f>
        <v/>
      </c>
      <c r="DH190" t="str">
        <f>""</f>
        <v/>
      </c>
      <c r="DI190" t="str">
        <f>""</f>
        <v/>
      </c>
      <c r="DJ190" t="str">
        <f>""</f>
        <v/>
      </c>
      <c r="DK190" t="str">
        <f>""</f>
        <v/>
      </c>
      <c r="DL190" t="str">
        <f>""</f>
        <v/>
      </c>
      <c r="DM190" t="str">
        <f>""</f>
        <v/>
      </c>
      <c r="DN190" t="str">
        <f>""</f>
        <v/>
      </c>
      <c r="DO190" t="str">
        <f>""</f>
        <v/>
      </c>
      <c r="DP190" t="str">
        <f>""</f>
        <v/>
      </c>
      <c r="DQ190" t="str">
        <f>""</f>
        <v/>
      </c>
      <c r="DR190" t="str">
        <f>""</f>
        <v/>
      </c>
      <c r="DS190" t="str">
        <f>""</f>
        <v/>
      </c>
      <c r="DT190" t="str">
        <f>""</f>
        <v/>
      </c>
      <c r="DU190" t="str">
        <f>""</f>
        <v/>
      </c>
    </row>
    <row r="191" spans="1:125" x14ac:dyDescent="0.25">
      <c r="A191" t="str">
        <f>$A$51</f>
        <v xml:space="preserve">                Comerica Inc</v>
      </c>
      <c r="B191" t="str">
        <f>$B$51</f>
        <v>CMA US Equity</v>
      </c>
      <c r="C191" t="str">
        <f>$C$51</f>
        <v>FC023</v>
      </c>
      <c r="D191" t="str">
        <f>$D$51</f>
        <v>FDIC_TOTAL_SECURITIES</v>
      </c>
      <c r="E191" t="str">
        <f>$E$51</f>
        <v>Dynamic</v>
      </c>
      <c r="F191">
        <f ca="1">_xll.BDH($B$51,$C$51,$B$143,$B$144,CONCATENATE("Per=",$B$141),"Dts=H","Dir=H",CONCATENATE("Points=",$B$142),"Sort=R","Days=A","Fill=B",CONCATENATE("FX=", $B$140),"cols=60;rows=1")</f>
        <v>15045</v>
      </c>
      <c r="G191">
        <v>15886</v>
      </c>
      <c r="H191">
        <v>15656</v>
      </c>
      <c r="I191">
        <v>16245</v>
      </c>
      <c r="J191">
        <v>16869</v>
      </c>
      <c r="K191">
        <v>16323</v>
      </c>
      <c r="L191">
        <v>17415</v>
      </c>
      <c r="M191">
        <v>18295</v>
      </c>
      <c r="N191">
        <v>19012</v>
      </c>
      <c r="O191">
        <v>19452</v>
      </c>
      <c r="P191">
        <v>20829</v>
      </c>
      <c r="Q191">
        <v>18810</v>
      </c>
      <c r="R191">
        <v>16986</v>
      </c>
      <c r="S191">
        <v>16846</v>
      </c>
      <c r="T191">
        <v>15837</v>
      </c>
      <c r="U191">
        <v>15595</v>
      </c>
      <c r="V191">
        <v>15028</v>
      </c>
      <c r="W191">
        <v>15090</v>
      </c>
      <c r="X191">
        <v>12759</v>
      </c>
      <c r="Y191">
        <v>13041</v>
      </c>
      <c r="Z191">
        <v>12398</v>
      </c>
      <c r="AA191">
        <v>12429</v>
      </c>
      <c r="AB191">
        <v>12338</v>
      </c>
      <c r="AC191">
        <v>12212</v>
      </c>
      <c r="AD191">
        <v>12044.962</v>
      </c>
      <c r="AE191">
        <v>11861.776</v>
      </c>
      <c r="AF191">
        <v>11914.958000000001</v>
      </c>
      <c r="AG191">
        <v>11971.209000000001</v>
      </c>
      <c r="AH191">
        <v>12203.981</v>
      </c>
      <c r="AI191">
        <v>12342.07</v>
      </c>
      <c r="AJ191">
        <v>12374.273999999999</v>
      </c>
      <c r="AK191">
        <v>12338.156999999999</v>
      </c>
      <c r="AL191">
        <v>12369.017</v>
      </c>
      <c r="AM191">
        <v>12483.831</v>
      </c>
      <c r="AN191">
        <v>12518.656000000001</v>
      </c>
      <c r="AO191">
        <v>12513.814</v>
      </c>
      <c r="AP191">
        <v>12499.89</v>
      </c>
      <c r="AQ191">
        <v>10611.803</v>
      </c>
      <c r="AR191">
        <v>10219.34</v>
      </c>
      <c r="AS191">
        <v>10084.808999999999</v>
      </c>
      <c r="AT191">
        <v>10051.098</v>
      </c>
      <c r="AU191">
        <v>9468.4770000000008</v>
      </c>
      <c r="AV191">
        <v>9534.2690000000002</v>
      </c>
      <c r="AW191">
        <v>9486.9150000000009</v>
      </c>
      <c r="AX191">
        <v>9306.8240000000005</v>
      </c>
      <c r="AY191">
        <v>9487.8070000000007</v>
      </c>
      <c r="AZ191">
        <v>9630.8960000000006</v>
      </c>
      <c r="BA191">
        <v>10285.710999999999</v>
      </c>
      <c r="BB191">
        <v>10296.532999999999</v>
      </c>
      <c r="BC191">
        <v>10569.708000000001</v>
      </c>
      <c r="BD191">
        <v>9939.7080000000005</v>
      </c>
      <c r="BE191">
        <v>10060.642</v>
      </c>
      <c r="BF191">
        <v>10103.412</v>
      </c>
      <c r="BG191">
        <v>9731.9220000000005</v>
      </c>
      <c r="BH191">
        <v>7536.5240000000003</v>
      </c>
      <c r="BI191">
        <v>7405.942</v>
      </c>
      <c r="BJ191">
        <v>7559.9589999999998</v>
      </c>
      <c r="BK191">
        <v>6816.02</v>
      </c>
      <c r="BL191">
        <v>7187.9480000000003</v>
      </c>
      <c r="BM191">
        <v>7346.2870000000003</v>
      </c>
      <c r="BN191" t="str">
        <f>""</f>
        <v/>
      </c>
      <c r="BO191" t="str">
        <f>""</f>
        <v/>
      </c>
      <c r="BP191" t="str">
        <f>""</f>
        <v/>
      </c>
      <c r="BQ191" t="str">
        <f>""</f>
        <v/>
      </c>
      <c r="BR191" t="str">
        <f>""</f>
        <v/>
      </c>
      <c r="BS191" t="str">
        <f>""</f>
        <v/>
      </c>
      <c r="BT191" t="str">
        <f>""</f>
        <v/>
      </c>
      <c r="BU191" t="str">
        <f>""</f>
        <v/>
      </c>
      <c r="BV191" t="str">
        <f>""</f>
        <v/>
      </c>
      <c r="BW191" t="str">
        <f>""</f>
        <v/>
      </c>
      <c r="BX191" t="str">
        <f>""</f>
        <v/>
      </c>
      <c r="BY191" t="str">
        <f>""</f>
        <v/>
      </c>
      <c r="BZ191" t="str">
        <f>""</f>
        <v/>
      </c>
      <c r="CA191" t="str">
        <f>""</f>
        <v/>
      </c>
      <c r="CB191" t="str">
        <f>""</f>
        <v/>
      </c>
      <c r="CC191" t="str">
        <f>""</f>
        <v/>
      </c>
      <c r="CD191" t="str">
        <f>""</f>
        <v/>
      </c>
      <c r="CE191" t="str">
        <f>""</f>
        <v/>
      </c>
      <c r="CF191" t="str">
        <f>""</f>
        <v/>
      </c>
      <c r="CG191" t="str">
        <f>""</f>
        <v/>
      </c>
      <c r="CH191" t="str">
        <f>""</f>
        <v/>
      </c>
      <c r="CI191" t="str">
        <f>""</f>
        <v/>
      </c>
      <c r="CJ191" t="str">
        <f>""</f>
        <v/>
      </c>
      <c r="CK191" t="str">
        <f>""</f>
        <v/>
      </c>
      <c r="CL191" t="str">
        <f>""</f>
        <v/>
      </c>
      <c r="CM191" t="str">
        <f>""</f>
        <v/>
      </c>
      <c r="CN191" t="str">
        <f>""</f>
        <v/>
      </c>
      <c r="CO191" t="str">
        <f>""</f>
        <v/>
      </c>
      <c r="CP191" t="str">
        <f>""</f>
        <v/>
      </c>
      <c r="CQ191" t="str">
        <f>""</f>
        <v/>
      </c>
      <c r="CR191" t="str">
        <f>""</f>
        <v/>
      </c>
      <c r="CS191" t="str">
        <f>""</f>
        <v/>
      </c>
      <c r="CT191" t="str">
        <f>""</f>
        <v/>
      </c>
      <c r="CU191" t="str">
        <f>""</f>
        <v/>
      </c>
      <c r="CV191" t="str">
        <f>""</f>
        <v/>
      </c>
      <c r="CW191" t="str">
        <f>""</f>
        <v/>
      </c>
      <c r="CX191" t="str">
        <f>""</f>
        <v/>
      </c>
      <c r="CY191" t="str">
        <f>""</f>
        <v/>
      </c>
      <c r="CZ191" t="str">
        <f>""</f>
        <v/>
      </c>
      <c r="DA191" t="str">
        <f>""</f>
        <v/>
      </c>
      <c r="DB191" t="str">
        <f>""</f>
        <v/>
      </c>
      <c r="DC191" t="str">
        <f>""</f>
        <v/>
      </c>
      <c r="DD191" t="str">
        <f>""</f>
        <v/>
      </c>
      <c r="DE191" t="str">
        <f>""</f>
        <v/>
      </c>
      <c r="DF191" t="str">
        <f>""</f>
        <v/>
      </c>
      <c r="DG191" t="str">
        <f>""</f>
        <v/>
      </c>
      <c r="DH191" t="str">
        <f>""</f>
        <v/>
      </c>
      <c r="DI191" t="str">
        <f>""</f>
        <v/>
      </c>
      <c r="DJ191" t="str">
        <f>""</f>
        <v/>
      </c>
      <c r="DK191" t="str">
        <f>""</f>
        <v/>
      </c>
      <c r="DL191" t="str">
        <f>""</f>
        <v/>
      </c>
      <c r="DM191" t="str">
        <f>""</f>
        <v/>
      </c>
      <c r="DN191" t="str">
        <f>""</f>
        <v/>
      </c>
      <c r="DO191" t="str">
        <f>""</f>
        <v/>
      </c>
      <c r="DP191" t="str">
        <f>""</f>
        <v/>
      </c>
      <c r="DQ191" t="str">
        <f>""</f>
        <v/>
      </c>
      <c r="DR191" t="str">
        <f>""</f>
        <v/>
      </c>
      <c r="DS191" t="str">
        <f>""</f>
        <v/>
      </c>
      <c r="DT191" t="str">
        <f>""</f>
        <v/>
      </c>
      <c r="DU191" t="str">
        <f>""</f>
        <v/>
      </c>
    </row>
    <row r="192" spans="1:125" x14ac:dyDescent="0.25">
      <c r="A192" t="str">
        <f>$A$52</f>
        <v xml:space="preserve">                East West Bancorp Inc</v>
      </c>
      <c r="B192" t="str">
        <f>$B$52</f>
        <v>EWBC US Equity</v>
      </c>
      <c r="C192" t="str">
        <f>$C$52</f>
        <v>FC023</v>
      </c>
      <c r="D192" t="str">
        <f>$D$52</f>
        <v>FDIC_TOTAL_SECURITIES</v>
      </c>
      <c r="E192" t="str">
        <f>$E$52</f>
        <v>Dynamic</v>
      </c>
      <c r="F192">
        <f ca="1">_xll.BDH($B$52,$C$52,$B$143,$B$144,CONCATENATE("Per=",$B$141),"Dts=H","Dir=H",CONCATENATE("Points=",$B$142),"Sort=R","Days=A","Fill=B",CONCATENATE("FX=", $B$140),"cols=60;rows=1")</f>
        <v>13764.224</v>
      </c>
      <c r="G192">
        <v>13062.276</v>
      </c>
      <c r="H192">
        <v>11861.778</v>
      </c>
      <c r="I192">
        <v>11349.11</v>
      </c>
      <c r="J192">
        <v>9144.3770000000004</v>
      </c>
      <c r="K192">
        <v>9004.0720000000001</v>
      </c>
      <c r="L192">
        <v>8963.1910000000007</v>
      </c>
      <c r="M192">
        <v>9294.2890000000007</v>
      </c>
      <c r="N192">
        <v>9036.8610000000008</v>
      </c>
      <c r="O192">
        <v>8918.7569999999996</v>
      </c>
      <c r="P192">
        <v>9283.8060000000005</v>
      </c>
      <c r="Q192">
        <v>9727.1329999999998</v>
      </c>
      <c r="R192">
        <v>9965.3529999999992</v>
      </c>
      <c r="S192">
        <v>9713.0059999999994</v>
      </c>
      <c r="T192">
        <v>8399.4599999999991</v>
      </c>
      <c r="U192">
        <v>7789.2129999999997</v>
      </c>
      <c r="V192">
        <v>5544.6580000000004</v>
      </c>
      <c r="W192">
        <v>4539.16</v>
      </c>
      <c r="X192">
        <v>3884.5740000000001</v>
      </c>
      <c r="Y192">
        <v>3695.9430000000002</v>
      </c>
      <c r="Z192">
        <v>3317.2139999999999</v>
      </c>
      <c r="AA192">
        <v>3284.0340000000001</v>
      </c>
      <c r="AB192">
        <v>2592.913</v>
      </c>
      <c r="AC192">
        <v>2640.1579999999999</v>
      </c>
      <c r="AD192">
        <v>2741.8470000000002</v>
      </c>
      <c r="AE192">
        <v>2676.51</v>
      </c>
      <c r="AF192">
        <v>2707.444</v>
      </c>
      <c r="AG192">
        <v>2811.4160000000002</v>
      </c>
      <c r="AH192">
        <v>3016.752</v>
      </c>
      <c r="AI192">
        <v>2956.7759999999998</v>
      </c>
      <c r="AJ192">
        <v>2943.8560000000002</v>
      </c>
      <c r="AK192">
        <v>3094.5309999999999</v>
      </c>
      <c r="AL192">
        <v>3479.7660000000001</v>
      </c>
      <c r="AM192">
        <v>3391.085</v>
      </c>
      <c r="AN192">
        <v>3399.54</v>
      </c>
      <c r="AO192">
        <v>3365.373</v>
      </c>
      <c r="AP192">
        <v>3773.2260000000001</v>
      </c>
      <c r="AQ192">
        <v>2952.277</v>
      </c>
      <c r="AR192">
        <v>2982.1460000000002</v>
      </c>
      <c r="AS192">
        <v>2841.085</v>
      </c>
      <c r="AT192">
        <v>2618.8510000000001</v>
      </c>
      <c r="AU192">
        <v>2585.145</v>
      </c>
      <c r="AV192">
        <v>2528.71</v>
      </c>
      <c r="AW192">
        <v>2473.7570000000001</v>
      </c>
      <c r="AX192">
        <v>2734.4</v>
      </c>
      <c r="AY192">
        <v>2894.3760000000002</v>
      </c>
      <c r="AZ192">
        <v>2670.0990000000002</v>
      </c>
      <c r="BA192">
        <v>2602.0520000000001</v>
      </c>
      <c r="BB192">
        <v>2610.556</v>
      </c>
      <c r="BC192">
        <v>2291.52</v>
      </c>
      <c r="BD192">
        <v>1955.0650000000001</v>
      </c>
      <c r="BE192">
        <v>2716.2849999999999</v>
      </c>
      <c r="BF192">
        <v>3073.201</v>
      </c>
      <c r="BG192">
        <v>3282.7809999999999</v>
      </c>
      <c r="BH192">
        <v>3209.41</v>
      </c>
      <c r="BI192">
        <v>3123.375</v>
      </c>
      <c r="BJ192">
        <v>2890.9490000000001</v>
      </c>
      <c r="BK192">
        <v>2908.127</v>
      </c>
      <c r="BL192">
        <v>2127.5590000000002</v>
      </c>
      <c r="BM192">
        <v>2191.527</v>
      </c>
      <c r="BN192" t="str">
        <f>""</f>
        <v/>
      </c>
      <c r="BO192" t="str">
        <f>""</f>
        <v/>
      </c>
      <c r="BP192" t="str">
        <f>""</f>
        <v/>
      </c>
      <c r="BQ192" t="str">
        <f>""</f>
        <v/>
      </c>
      <c r="BR192" t="str">
        <f>""</f>
        <v/>
      </c>
      <c r="BS192" t="str">
        <f>""</f>
        <v/>
      </c>
      <c r="BT192" t="str">
        <f>""</f>
        <v/>
      </c>
      <c r="BU192" t="str">
        <f>""</f>
        <v/>
      </c>
      <c r="BV192" t="str">
        <f>""</f>
        <v/>
      </c>
      <c r="BW192" t="str">
        <f>""</f>
        <v/>
      </c>
      <c r="BX192" t="str">
        <f>""</f>
        <v/>
      </c>
      <c r="BY192" t="str">
        <f>""</f>
        <v/>
      </c>
      <c r="BZ192" t="str">
        <f>""</f>
        <v/>
      </c>
      <c r="CA192" t="str">
        <f>""</f>
        <v/>
      </c>
      <c r="CB192" t="str">
        <f>""</f>
        <v/>
      </c>
      <c r="CC192" t="str">
        <f>""</f>
        <v/>
      </c>
      <c r="CD192" t="str">
        <f>""</f>
        <v/>
      </c>
      <c r="CE192" t="str">
        <f>""</f>
        <v/>
      </c>
      <c r="CF192" t="str">
        <f>""</f>
        <v/>
      </c>
      <c r="CG192" t="str">
        <f>""</f>
        <v/>
      </c>
      <c r="CH192" t="str">
        <f>""</f>
        <v/>
      </c>
      <c r="CI192" t="str">
        <f>""</f>
        <v/>
      </c>
      <c r="CJ192" t="str">
        <f>""</f>
        <v/>
      </c>
      <c r="CK192" t="str">
        <f>""</f>
        <v/>
      </c>
      <c r="CL192" t="str">
        <f>""</f>
        <v/>
      </c>
      <c r="CM192" t="str">
        <f>""</f>
        <v/>
      </c>
      <c r="CN192" t="str">
        <f>""</f>
        <v/>
      </c>
      <c r="CO192" t="str">
        <f>""</f>
        <v/>
      </c>
      <c r="CP192" t="str">
        <f>""</f>
        <v/>
      </c>
      <c r="CQ192" t="str">
        <f>""</f>
        <v/>
      </c>
      <c r="CR192" t="str">
        <f>""</f>
        <v/>
      </c>
      <c r="CS192" t="str">
        <f>""</f>
        <v/>
      </c>
      <c r="CT192" t="str">
        <f>""</f>
        <v/>
      </c>
      <c r="CU192" t="str">
        <f>""</f>
        <v/>
      </c>
      <c r="CV192" t="str">
        <f>""</f>
        <v/>
      </c>
      <c r="CW192" t="str">
        <f>""</f>
        <v/>
      </c>
      <c r="CX192" t="str">
        <f>""</f>
        <v/>
      </c>
      <c r="CY192" t="str">
        <f>""</f>
        <v/>
      </c>
      <c r="CZ192" t="str">
        <f>""</f>
        <v/>
      </c>
      <c r="DA192" t="str">
        <f>""</f>
        <v/>
      </c>
      <c r="DB192" t="str">
        <f>""</f>
        <v/>
      </c>
      <c r="DC192" t="str">
        <f>""</f>
        <v/>
      </c>
      <c r="DD192" t="str">
        <f>""</f>
        <v/>
      </c>
      <c r="DE192" t="str">
        <f>""</f>
        <v/>
      </c>
      <c r="DF192" t="str">
        <f>""</f>
        <v/>
      </c>
      <c r="DG192" t="str">
        <f>""</f>
        <v/>
      </c>
      <c r="DH192" t="str">
        <f>""</f>
        <v/>
      </c>
      <c r="DI192" t="str">
        <f>""</f>
        <v/>
      </c>
      <c r="DJ192" t="str">
        <f>""</f>
        <v/>
      </c>
      <c r="DK192" t="str">
        <f>""</f>
        <v/>
      </c>
      <c r="DL192" t="str">
        <f>""</f>
        <v/>
      </c>
      <c r="DM192" t="str">
        <f>""</f>
        <v/>
      </c>
      <c r="DN192" t="str">
        <f>""</f>
        <v/>
      </c>
      <c r="DO192" t="str">
        <f>""</f>
        <v/>
      </c>
      <c r="DP192" t="str">
        <f>""</f>
        <v/>
      </c>
      <c r="DQ192" t="str">
        <f>""</f>
        <v/>
      </c>
      <c r="DR192" t="str">
        <f>""</f>
        <v/>
      </c>
      <c r="DS192" t="str">
        <f>""</f>
        <v/>
      </c>
      <c r="DT192" t="str">
        <f>""</f>
        <v/>
      </c>
      <c r="DU192" t="str">
        <f>""</f>
        <v/>
      </c>
    </row>
    <row r="193" spans="1:125" x14ac:dyDescent="0.25">
      <c r="A193" t="str">
        <f>$A$53</f>
        <v xml:space="preserve">                Fifth Third Bancorp</v>
      </c>
      <c r="B193" t="str">
        <f>$B$53</f>
        <v>FITB US Equity</v>
      </c>
      <c r="C193" t="str">
        <f>$C$53</f>
        <v>FC023</v>
      </c>
      <c r="D193" t="str">
        <f>$D$53</f>
        <v>FDIC_TOTAL_SECURITIES</v>
      </c>
      <c r="E193" t="str">
        <f>$E$53</f>
        <v>Dynamic</v>
      </c>
      <c r="F193">
        <f ca="1">_xll.BDH($B$53,$C$53,$B$143,$B$144,CONCATENATE("Per=",$B$141),"Dts=H","Dir=H",CONCATENATE("Points=",$B$142),"Sort=R","Days=A","Fill=B",CONCATENATE("FX=", $B$140),"cols=60;rows=1")</f>
        <v>50045</v>
      </c>
      <c r="G193">
        <v>50975</v>
      </c>
      <c r="H193">
        <v>49634</v>
      </c>
      <c r="I193">
        <v>49509</v>
      </c>
      <c r="J193">
        <v>49698</v>
      </c>
      <c r="K193">
        <v>47115</v>
      </c>
      <c r="L193">
        <v>48493</v>
      </c>
      <c r="M193">
        <v>49829</v>
      </c>
      <c r="N193">
        <v>50632.499000000003</v>
      </c>
      <c r="O193">
        <v>50418.504999999997</v>
      </c>
      <c r="P193">
        <v>52035.087</v>
      </c>
      <c r="Q193">
        <v>48317.856</v>
      </c>
      <c r="R193">
        <v>37597.712</v>
      </c>
      <c r="S193">
        <v>37358.82</v>
      </c>
      <c r="T193">
        <v>37500.955999999998</v>
      </c>
      <c r="U193">
        <v>37082.682000000001</v>
      </c>
      <c r="V193">
        <v>36997.82</v>
      </c>
      <c r="W193">
        <v>36907.711000000003</v>
      </c>
      <c r="X193">
        <v>38065.65</v>
      </c>
      <c r="Y193">
        <v>38044.606</v>
      </c>
      <c r="Z193">
        <v>35488.091999999997</v>
      </c>
      <c r="AA193">
        <v>36619.249000000003</v>
      </c>
      <c r="AB193">
        <v>35222.641000000003</v>
      </c>
      <c r="AC193">
        <v>34482.877999999997</v>
      </c>
      <c r="AD193">
        <v>32294.058000000001</v>
      </c>
      <c r="AE193">
        <v>31273.663</v>
      </c>
      <c r="AF193">
        <v>31364.669000000002</v>
      </c>
      <c r="AG193">
        <v>31227.669000000002</v>
      </c>
      <c r="AH193">
        <v>31230.933000000001</v>
      </c>
      <c r="AI193">
        <v>30892.642</v>
      </c>
      <c r="AJ193">
        <v>31236.618999999999</v>
      </c>
      <c r="AK193">
        <v>30946.295999999998</v>
      </c>
      <c r="AL193">
        <v>30600.281999999999</v>
      </c>
      <c r="AM193">
        <v>30137.223000000002</v>
      </c>
      <c r="AN193">
        <v>30908.973999999998</v>
      </c>
      <c r="AO193">
        <v>29347.842000000001</v>
      </c>
      <c r="AP193">
        <v>28507.763999999999</v>
      </c>
      <c r="AQ193">
        <v>28350.624</v>
      </c>
      <c r="AR193">
        <v>27541.434000000001</v>
      </c>
      <c r="AS193">
        <v>25984.008999999998</v>
      </c>
      <c r="AT193">
        <v>21992.848999999998</v>
      </c>
      <c r="AU193">
        <v>22501.297999999999</v>
      </c>
      <c r="AV193">
        <v>22408.186000000002</v>
      </c>
      <c r="AW193">
        <v>20344.429</v>
      </c>
      <c r="AX193">
        <v>18052.371999999999</v>
      </c>
      <c r="AY193">
        <v>17497.062999999998</v>
      </c>
      <c r="AZ193">
        <v>15614.671</v>
      </c>
      <c r="BA193">
        <v>14699.687</v>
      </c>
      <c r="BB193">
        <v>14644.815000000001</v>
      </c>
      <c r="BC193">
        <v>14843.415999999999</v>
      </c>
      <c r="BD193">
        <v>15011.558000000001</v>
      </c>
      <c r="BE193">
        <v>15569.308999999999</v>
      </c>
      <c r="BF193">
        <v>14839.445</v>
      </c>
      <c r="BG193">
        <v>15719.694</v>
      </c>
      <c r="BH193">
        <v>15000.481</v>
      </c>
      <c r="BI193">
        <v>14607.641</v>
      </c>
      <c r="BJ193">
        <v>14893.754999999999</v>
      </c>
      <c r="BK193">
        <v>15430.044</v>
      </c>
      <c r="BL193">
        <v>15475.800999999999</v>
      </c>
      <c r="BM193">
        <v>16391.048999999999</v>
      </c>
      <c r="BN193" t="str">
        <f>""</f>
        <v/>
      </c>
      <c r="BO193" t="str">
        <f>""</f>
        <v/>
      </c>
      <c r="BP193" t="str">
        <f>""</f>
        <v/>
      </c>
      <c r="BQ193" t="str">
        <f>""</f>
        <v/>
      </c>
      <c r="BR193" t="str">
        <f>""</f>
        <v/>
      </c>
      <c r="BS193" t="str">
        <f>""</f>
        <v/>
      </c>
      <c r="BT193" t="str">
        <f>""</f>
        <v/>
      </c>
      <c r="BU193" t="str">
        <f>""</f>
        <v/>
      </c>
      <c r="BV193" t="str">
        <f>""</f>
        <v/>
      </c>
      <c r="BW193" t="str">
        <f>""</f>
        <v/>
      </c>
      <c r="BX193" t="str">
        <f>""</f>
        <v/>
      </c>
      <c r="BY193" t="str">
        <f>""</f>
        <v/>
      </c>
      <c r="BZ193" t="str">
        <f>""</f>
        <v/>
      </c>
      <c r="CA193" t="str">
        <f>""</f>
        <v/>
      </c>
      <c r="CB193" t="str">
        <f>""</f>
        <v/>
      </c>
      <c r="CC193" t="str">
        <f>""</f>
        <v/>
      </c>
      <c r="CD193" t="str">
        <f>""</f>
        <v/>
      </c>
      <c r="CE193" t="str">
        <f>""</f>
        <v/>
      </c>
      <c r="CF193" t="str">
        <f>""</f>
        <v/>
      </c>
      <c r="CG193" t="str">
        <f>""</f>
        <v/>
      </c>
      <c r="CH193" t="str">
        <f>""</f>
        <v/>
      </c>
      <c r="CI193" t="str">
        <f>""</f>
        <v/>
      </c>
      <c r="CJ193" t="str">
        <f>""</f>
        <v/>
      </c>
      <c r="CK193" t="str">
        <f>""</f>
        <v/>
      </c>
      <c r="CL193" t="str">
        <f>""</f>
        <v/>
      </c>
      <c r="CM193" t="str">
        <f>""</f>
        <v/>
      </c>
      <c r="CN193" t="str">
        <f>""</f>
        <v/>
      </c>
      <c r="CO193" t="str">
        <f>""</f>
        <v/>
      </c>
      <c r="CP193" t="str">
        <f>""</f>
        <v/>
      </c>
      <c r="CQ193" t="str">
        <f>""</f>
        <v/>
      </c>
      <c r="CR193" t="str">
        <f>""</f>
        <v/>
      </c>
      <c r="CS193" t="str">
        <f>""</f>
        <v/>
      </c>
      <c r="CT193" t="str">
        <f>""</f>
        <v/>
      </c>
      <c r="CU193" t="str">
        <f>""</f>
        <v/>
      </c>
      <c r="CV193" t="str">
        <f>""</f>
        <v/>
      </c>
      <c r="CW193" t="str">
        <f>""</f>
        <v/>
      </c>
      <c r="CX193" t="str">
        <f>""</f>
        <v/>
      </c>
      <c r="CY193" t="str">
        <f>""</f>
        <v/>
      </c>
      <c r="CZ193" t="str">
        <f>""</f>
        <v/>
      </c>
      <c r="DA193" t="str">
        <f>""</f>
        <v/>
      </c>
      <c r="DB193" t="str">
        <f>""</f>
        <v/>
      </c>
      <c r="DC193" t="str">
        <f>""</f>
        <v/>
      </c>
      <c r="DD193" t="str">
        <f>""</f>
        <v/>
      </c>
      <c r="DE193" t="str">
        <f>""</f>
        <v/>
      </c>
      <c r="DF193" t="str">
        <f>""</f>
        <v/>
      </c>
      <c r="DG193" t="str">
        <f>""</f>
        <v/>
      </c>
      <c r="DH193" t="str">
        <f>""</f>
        <v/>
      </c>
      <c r="DI193" t="str">
        <f>""</f>
        <v/>
      </c>
      <c r="DJ193" t="str">
        <f>""</f>
        <v/>
      </c>
      <c r="DK193" t="str">
        <f>""</f>
        <v/>
      </c>
      <c r="DL193" t="str">
        <f>""</f>
        <v/>
      </c>
      <c r="DM193" t="str">
        <f>""</f>
        <v/>
      </c>
      <c r="DN193" t="str">
        <f>""</f>
        <v/>
      </c>
      <c r="DO193" t="str">
        <f>""</f>
        <v/>
      </c>
      <c r="DP193" t="str">
        <f>""</f>
        <v/>
      </c>
      <c r="DQ193" t="str">
        <f>""</f>
        <v/>
      </c>
      <c r="DR193" t="str">
        <f>""</f>
        <v/>
      </c>
      <c r="DS193" t="str">
        <f>""</f>
        <v/>
      </c>
      <c r="DT193" t="str">
        <f>""</f>
        <v/>
      </c>
      <c r="DU193" t="str">
        <f>""</f>
        <v/>
      </c>
    </row>
    <row r="194" spans="1:125" x14ac:dyDescent="0.25">
      <c r="A194" t="str">
        <f>$A$54</f>
        <v xml:space="preserve">                First Citizens BancShares Inc/</v>
      </c>
      <c r="B194" t="str">
        <f>$B$54</f>
        <v>FCNCA US Equity</v>
      </c>
      <c r="C194" t="str">
        <f>$C$54</f>
        <v>FC023</v>
      </c>
      <c r="D194" t="str">
        <f>$D$54</f>
        <v>FDIC_TOTAL_SECURITIES</v>
      </c>
      <c r="E194" t="str">
        <f>$E$54</f>
        <v>Dynamic</v>
      </c>
      <c r="F194">
        <f ca="1">_xll.BDH($B$54,$C$54,$B$143,$B$144,CONCATENATE("Per=",$B$141),"Dts=H","Dir=H",CONCATENATE("Points=",$B$142),"Sort=R","Days=A","Fill=B",CONCATENATE("FX=", $B$140),"cols=60;rows=1")</f>
        <v>43988</v>
      </c>
      <c r="G194">
        <v>38580</v>
      </c>
      <c r="H194">
        <v>37587</v>
      </c>
      <c r="I194">
        <v>34963</v>
      </c>
      <c r="J194">
        <v>29912.649000000001</v>
      </c>
      <c r="K194">
        <v>26740.791000000001</v>
      </c>
      <c r="L194">
        <v>22093.014999999999</v>
      </c>
      <c r="M194">
        <v>19440.564999999999</v>
      </c>
      <c r="N194">
        <v>19271.953000000001</v>
      </c>
      <c r="O194">
        <v>18745.916000000001</v>
      </c>
      <c r="P194">
        <v>19038.82</v>
      </c>
      <c r="Q194">
        <v>19364.887999999999</v>
      </c>
      <c r="R194">
        <v>13010.871999999999</v>
      </c>
      <c r="S194">
        <v>10750.198</v>
      </c>
      <c r="T194">
        <v>10773.68</v>
      </c>
      <c r="U194">
        <v>10113.214</v>
      </c>
      <c r="V194">
        <v>9828.9689999999991</v>
      </c>
      <c r="W194">
        <v>9765.2639999999992</v>
      </c>
      <c r="X194">
        <v>9391.1540000000005</v>
      </c>
      <c r="Y194">
        <v>8509.4750000000004</v>
      </c>
      <c r="Z194">
        <v>7059.674</v>
      </c>
      <c r="AA194">
        <v>7020.0240000000003</v>
      </c>
      <c r="AB194">
        <v>6548.5410000000002</v>
      </c>
      <c r="AC194">
        <v>6804.6289999999999</v>
      </c>
      <c r="AD194">
        <v>6741.7629999999999</v>
      </c>
      <c r="AE194">
        <v>6930.7669999999998</v>
      </c>
      <c r="AF194">
        <v>7083.2809999999999</v>
      </c>
      <c r="AG194">
        <v>6857.8140000000003</v>
      </c>
      <c r="AH194">
        <v>7180.2560000000003</v>
      </c>
      <c r="AI194">
        <v>6992.9549999999999</v>
      </c>
      <c r="AJ194">
        <v>6596.53</v>
      </c>
      <c r="AK194">
        <v>7119.9440000000004</v>
      </c>
      <c r="AL194">
        <v>7006.6779999999999</v>
      </c>
      <c r="AM194">
        <v>6459.94</v>
      </c>
      <c r="AN194">
        <v>6632.7359999999999</v>
      </c>
      <c r="AO194">
        <v>6762.4830000000002</v>
      </c>
      <c r="AP194">
        <v>6936.5479999999998</v>
      </c>
      <c r="AQ194">
        <v>6765.8789999999999</v>
      </c>
      <c r="AR194">
        <v>7425.5450000000001</v>
      </c>
      <c r="AS194">
        <v>7120.55</v>
      </c>
      <c r="AT194">
        <v>7247.4350000000004</v>
      </c>
      <c r="AU194">
        <v>5698.701</v>
      </c>
      <c r="AV194">
        <v>5538.8590000000004</v>
      </c>
      <c r="AW194">
        <v>5677.0190000000002</v>
      </c>
      <c r="AX194">
        <v>5388.61</v>
      </c>
      <c r="AY194">
        <v>5162.598</v>
      </c>
      <c r="AZ194">
        <v>5186.1059999999998</v>
      </c>
      <c r="BA194">
        <v>5280.9070000000002</v>
      </c>
      <c r="BB194">
        <v>5227.57</v>
      </c>
      <c r="BC194">
        <v>5014.3069999999998</v>
      </c>
      <c r="BD194">
        <v>4635.826</v>
      </c>
      <c r="BE194">
        <v>4459.4269999999997</v>
      </c>
      <c r="BF194">
        <v>4058.2449999999999</v>
      </c>
      <c r="BG194">
        <v>3996.768</v>
      </c>
      <c r="BH194">
        <v>4016.3389999999999</v>
      </c>
      <c r="BI194">
        <v>4204.357</v>
      </c>
      <c r="BJ194">
        <v>4512.6090000000004</v>
      </c>
      <c r="BK194">
        <v>3789.2930000000001</v>
      </c>
      <c r="BL194">
        <v>3771.8150000000001</v>
      </c>
      <c r="BM194">
        <v>3378.4810000000002</v>
      </c>
      <c r="BN194" t="str">
        <f>""</f>
        <v/>
      </c>
      <c r="BO194" t="str">
        <f>""</f>
        <v/>
      </c>
      <c r="BP194" t="str">
        <f>""</f>
        <v/>
      </c>
      <c r="BQ194" t="str">
        <f>""</f>
        <v/>
      </c>
      <c r="BR194" t="str">
        <f>""</f>
        <v/>
      </c>
      <c r="BS194" t="str">
        <f>""</f>
        <v/>
      </c>
      <c r="BT194" t="str">
        <f>""</f>
        <v/>
      </c>
      <c r="BU194" t="str">
        <f>""</f>
        <v/>
      </c>
      <c r="BV194" t="str">
        <f>""</f>
        <v/>
      </c>
      <c r="BW194" t="str">
        <f>""</f>
        <v/>
      </c>
      <c r="BX194" t="str">
        <f>""</f>
        <v/>
      </c>
      <c r="BY194" t="str">
        <f>""</f>
        <v/>
      </c>
      <c r="BZ194" t="str">
        <f>""</f>
        <v/>
      </c>
      <c r="CA194" t="str">
        <f>""</f>
        <v/>
      </c>
      <c r="CB194" t="str">
        <f>""</f>
        <v/>
      </c>
      <c r="CC194" t="str">
        <f>""</f>
        <v/>
      </c>
      <c r="CD194" t="str">
        <f>""</f>
        <v/>
      </c>
      <c r="CE194" t="str">
        <f>""</f>
        <v/>
      </c>
      <c r="CF194" t="str">
        <f>""</f>
        <v/>
      </c>
      <c r="CG194" t="str">
        <f>""</f>
        <v/>
      </c>
      <c r="CH194" t="str">
        <f>""</f>
        <v/>
      </c>
      <c r="CI194" t="str">
        <f>""</f>
        <v/>
      </c>
      <c r="CJ194" t="str">
        <f>""</f>
        <v/>
      </c>
      <c r="CK194" t="str">
        <f>""</f>
        <v/>
      </c>
      <c r="CL194" t="str">
        <f>""</f>
        <v/>
      </c>
      <c r="CM194" t="str">
        <f>""</f>
        <v/>
      </c>
      <c r="CN194" t="str">
        <f>""</f>
        <v/>
      </c>
      <c r="CO194" t="str">
        <f>""</f>
        <v/>
      </c>
      <c r="CP194" t="str">
        <f>""</f>
        <v/>
      </c>
      <c r="CQ194" t="str">
        <f>""</f>
        <v/>
      </c>
      <c r="CR194" t="str">
        <f>""</f>
        <v/>
      </c>
      <c r="CS194" t="str">
        <f>""</f>
        <v/>
      </c>
      <c r="CT194" t="str">
        <f>""</f>
        <v/>
      </c>
      <c r="CU194" t="str">
        <f>""</f>
        <v/>
      </c>
      <c r="CV194" t="str">
        <f>""</f>
        <v/>
      </c>
      <c r="CW194" t="str">
        <f>""</f>
        <v/>
      </c>
      <c r="CX194" t="str">
        <f>""</f>
        <v/>
      </c>
      <c r="CY194" t="str">
        <f>""</f>
        <v/>
      </c>
      <c r="CZ194" t="str">
        <f>""</f>
        <v/>
      </c>
      <c r="DA194" t="str">
        <f>""</f>
        <v/>
      </c>
      <c r="DB194" t="str">
        <f>""</f>
        <v/>
      </c>
      <c r="DC194" t="str">
        <f>""</f>
        <v/>
      </c>
      <c r="DD194" t="str">
        <f>""</f>
        <v/>
      </c>
      <c r="DE194" t="str">
        <f>""</f>
        <v/>
      </c>
      <c r="DF194" t="str">
        <f>""</f>
        <v/>
      </c>
      <c r="DG194" t="str">
        <f>""</f>
        <v/>
      </c>
      <c r="DH194" t="str">
        <f>""</f>
        <v/>
      </c>
      <c r="DI194" t="str">
        <f>""</f>
        <v/>
      </c>
      <c r="DJ194" t="str">
        <f>""</f>
        <v/>
      </c>
      <c r="DK194" t="str">
        <f>""</f>
        <v/>
      </c>
      <c r="DL194" t="str">
        <f>""</f>
        <v/>
      </c>
      <c r="DM194" t="str">
        <f>""</f>
        <v/>
      </c>
      <c r="DN194" t="str">
        <f>""</f>
        <v/>
      </c>
      <c r="DO194" t="str">
        <f>""</f>
        <v/>
      </c>
      <c r="DP194" t="str">
        <f>""</f>
        <v/>
      </c>
      <c r="DQ194" t="str">
        <f>""</f>
        <v/>
      </c>
      <c r="DR194" t="str">
        <f>""</f>
        <v/>
      </c>
      <c r="DS194" t="str">
        <f>""</f>
        <v/>
      </c>
      <c r="DT194" t="str">
        <f>""</f>
        <v/>
      </c>
      <c r="DU194" t="str">
        <f>""</f>
        <v/>
      </c>
    </row>
    <row r="195" spans="1:125" x14ac:dyDescent="0.25">
      <c r="A195" t="str">
        <f>$A$55</f>
        <v xml:space="preserve">                Flagstar Financial Inc</v>
      </c>
      <c r="B195" t="str">
        <f>$B$55</f>
        <v>FLG US Equity</v>
      </c>
      <c r="C195" t="str">
        <f>$C$55</f>
        <v>FC023</v>
      </c>
      <c r="D195" t="str">
        <f>$D$55</f>
        <v>FDIC_TOTAL_SECURITIES</v>
      </c>
      <c r="E195" t="str">
        <f>$E$55</f>
        <v>Dynamic</v>
      </c>
      <c r="F195">
        <f ca="1">_xll.BDH($B$55,$C$55,$B$143,$B$144,CONCATENATE("Per=",$B$141),"Dts=H","Dir=H",CONCATENATE("Points=",$B$142),"Sort=R","Days=A","Fill=B",CONCATENATE("FX=", $B$140),"cols=60;rows=1")</f>
        <v>10401.846</v>
      </c>
      <c r="G195">
        <v>10510.848</v>
      </c>
      <c r="H195">
        <v>10534.596</v>
      </c>
      <c r="I195">
        <v>9336.4789999999994</v>
      </c>
      <c r="J195">
        <v>9144.8559999999998</v>
      </c>
      <c r="K195">
        <v>8722.6350000000002</v>
      </c>
      <c r="L195">
        <v>7778.5609999999997</v>
      </c>
      <c r="M195">
        <v>7599.0450000000001</v>
      </c>
      <c r="N195">
        <v>9059.7389999999996</v>
      </c>
      <c r="O195">
        <v>6689.1559999999999</v>
      </c>
      <c r="P195">
        <v>5663.6270000000004</v>
      </c>
      <c r="Q195">
        <v>5612.0259999999998</v>
      </c>
      <c r="R195">
        <v>5779.97</v>
      </c>
      <c r="S195">
        <v>5898.2129999999997</v>
      </c>
      <c r="T195">
        <v>6077.3180000000002</v>
      </c>
      <c r="U195">
        <v>6177.9049999999997</v>
      </c>
      <c r="V195">
        <v>5813.3329999999996</v>
      </c>
      <c r="W195">
        <v>5233.7439999999997</v>
      </c>
      <c r="X195">
        <v>5168.1819999999998</v>
      </c>
      <c r="Y195">
        <v>5455.2460000000001</v>
      </c>
      <c r="Z195">
        <v>5853.0569999999998</v>
      </c>
      <c r="AA195">
        <v>5854.5680000000002</v>
      </c>
      <c r="AB195">
        <v>5738.1459999999997</v>
      </c>
      <c r="AC195">
        <v>5724.6440000000002</v>
      </c>
      <c r="AD195">
        <v>5613.52</v>
      </c>
      <c r="AE195">
        <v>4764.2830000000004</v>
      </c>
      <c r="AF195">
        <v>4122.8829999999998</v>
      </c>
      <c r="AG195">
        <v>3391.9520000000002</v>
      </c>
      <c r="AH195">
        <v>3531.4270000000001</v>
      </c>
      <c r="AI195">
        <v>3031.0259999999998</v>
      </c>
      <c r="AJ195">
        <v>3171.1170000000002</v>
      </c>
      <c r="AK195">
        <v>3692.328</v>
      </c>
      <c r="AL195">
        <v>3817.0569999999998</v>
      </c>
      <c r="AM195">
        <v>3813.07</v>
      </c>
      <c r="AN195">
        <v>3976.8310000000001</v>
      </c>
      <c r="AO195">
        <v>4220.9989999999998</v>
      </c>
      <c r="AP195">
        <v>6173.6450000000004</v>
      </c>
      <c r="AQ195">
        <v>6759.6109999999999</v>
      </c>
      <c r="AR195">
        <v>6823.5039999999999</v>
      </c>
      <c r="AS195">
        <v>6960.5929999999998</v>
      </c>
      <c r="AT195">
        <v>7096.45</v>
      </c>
      <c r="AU195">
        <v>7511.2759999999998</v>
      </c>
      <c r="AV195">
        <v>7792.9579999999996</v>
      </c>
      <c r="AW195">
        <v>7952.4129999999996</v>
      </c>
      <c r="AX195">
        <v>7951.02</v>
      </c>
      <c r="AY195">
        <v>7083.42</v>
      </c>
      <c r="AZ195">
        <v>5941.6959999999999</v>
      </c>
      <c r="BA195">
        <v>5464.1880000000001</v>
      </c>
      <c r="BB195">
        <v>4913.5280000000002</v>
      </c>
      <c r="BC195">
        <v>5144.2079999999996</v>
      </c>
      <c r="BD195">
        <v>4265.09</v>
      </c>
      <c r="BE195">
        <v>4877.8090000000002</v>
      </c>
      <c r="BF195">
        <v>4540.5159999999996</v>
      </c>
      <c r="BG195">
        <v>5147.6170000000002</v>
      </c>
      <c r="BH195">
        <v>5668.9179999999997</v>
      </c>
      <c r="BI195">
        <v>4794.9970000000003</v>
      </c>
      <c r="BJ195">
        <v>4788.8909999999996</v>
      </c>
      <c r="BK195">
        <v>4725.9589999999998</v>
      </c>
      <c r="BL195">
        <v>4697.2489999999998</v>
      </c>
      <c r="BM195">
        <v>5549.4759999999997</v>
      </c>
      <c r="BN195" t="str">
        <f>""</f>
        <v/>
      </c>
      <c r="BO195" t="str">
        <f>""</f>
        <v/>
      </c>
      <c r="BP195" t="str">
        <f>""</f>
        <v/>
      </c>
      <c r="BQ195" t="str">
        <f>""</f>
        <v/>
      </c>
      <c r="BR195" t="str">
        <f>""</f>
        <v/>
      </c>
      <c r="BS195" t="str">
        <f>""</f>
        <v/>
      </c>
      <c r="BT195" t="str">
        <f>""</f>
        <v/>
      </c>
      <c r="BU195" t="str">
        <f>""</f>
        <v/>
      </c>
      <c r="BV195" t="str">
        <f>""</f>
        <v/>
      </c>
      <c r="BW195" t="str">
        <f>""</f>
        <v/>
      </c>
      <c r="BX195" t="str">
        <f>""</f>
        <v/>
      </c>
      <c r="BY195" t="str">
        <f>""</f>
        <v/>
      </c>
      <c r="BZ195" t="str">
        <f>""</f>
        <v/>
      </c>
      <c r="CA195" t="str">
        <f>""</f>
        <v/>
      </c>
      <c r="CB195" t="str">
        <f>""</f>
        <v/>
      </c>
      <c r="CC195" t="str">
        <f>""</f>
        <v/>
      </c>
      <c r="CD195" t="str">
        <f>""</f>
        <v/>
      </c>
      <c r="CE195" t="str">
        <f>""</f>
        <v/>
      </c>
      <c r="CF195" t="str">
        <f>""</f>
        <v/>
      </c>
      <c r="CG195" t="str">
        <f>""</f>
        <v/>
      </c>
      <c r="CH195" t="str">
        <f>""</f>
        <v/>
      </c>
      <c r="CI195" t="str">
        <f>""</f>
        <v/>
      </c>
      <c r="CJ195" t="str">
        <f>""</f>
        <v/>
      </c>
      <c r="CK195" t="str">
        <f>""</f>
        <v/>
      </c>
      <c r="CL195" t="str">
        <f>""</f>
        <v/>
      </c>
      <c r="CM195" t="str">
        <f>""</f>
        <v/>
      </c>
      <c r="CN195" t="str">
        <f>""</f>
        <v/>
      </c>
      <c r="CO195" t="str">
        <f>""</f>
        <v/>
      </c>
      <c r="CP195" t="str">
        <f>""</f>
        <v/>
      </c>
      <c r="CQ195" t="str">
        <f>""</f>
        <v/>
      </c>
      <c r="CR195" t="str">
        <f>""</f>
        <v/>
      </c>
      <c r="CS195" t="str">
        <f>""</f>
        <v/>
      </c>
      <c r="CT195" t="str">
        <f>""</f>
        <v/>
      </c>
      <c r="CU195" t="str">
        <f>""</f>
        <v/>
      </c>
      <c r="CV195" t="str">
        <f>""</f>
        <v/>
      </c>
      <c r="CW195" t="str">
        <f>""</f>
        <v/>
      </c>
      <c r="CX195" t="str">
        <f>""</f>
        <v/>
      </c>
      <c r="CY195" t="str">
        <f>""</f>
        <v/>
      </c>
      <c r="CZ195" t="str">
        <f>""</f>
        <v/>
      </c>
      <c r="DA195" t="str">
        <f>""</f>
        <v/>
      </c>
      <c r="DB195" t="str">
        <f>""</f>
        <v/>
      </c>
      <c r="DC195" t="str">
        <f>""</f>
        <v/>
      </c>
      <c r="DD195" t="str">
        <f>""</f>
        <v/>
      </c>
      <c r="DE195" t="str">
        <f>""</f>
        <v/>
      </c>
      <c r="DF195" t="str">
        <f>""</f>
        <v/>
      </c>
      <c r="DG195" t="str">
        <f>""</f>
        <v/>
      </c>
      <c r="DH195" t="str">
        <f>""</f>
        <v/>
      </c>
      <c r="DI195" t="str">
        <f>""</f>
        <v/>
      </c>
      <c r="DJ195" t="str">
        <f>""</f>
        <v/>
      </c>
      <c r="DK195" t="str">
        <f>""</f>
        <v/>
      </c>
      <c r="DL195" t="str">
        <f>""</f>
        <v/>
      </c>
      <c r="DM195" t="str">
        <f>""</f>
        <v/>
      </c>
      <c r="DN195" t="str">
        <f>""</f>
        <v/>
      </c>
      <c r="DO195" t="str">
        <f>""</f>
        <v/>
      </c>
      <c r="DP195" t="str">
        <f>""</f>
        <v/>
      </c>
      <c r="DQ195" t="str">
        <f>""</f>
        <v/>
      </c>
      <c r="DR195" t="str">
        <f>""</f>
        <v/>
      </c>
      <c r="DS195" t="str">
        <f>""</f>
        <v/>
      </c>
      <c r="DT195" t="str">
        <f>""</f>
        <v/>
      </c>
      <c r="DU195" t="str">
        <f>""</f>
        <v/>
      </c>
    </row>
    <row r="196" spans="1:125" x14ac:dyDescent="0.25">
      <c r="A196" t="str">
        <f>$A$56</f>
        <v xml:space="preserve">                Huntington Bancshares Inc/OH</v>
      </c>
      <c r="B196" t="str">
        <f>$B$56</f>
        <v>HBAN US Equity</v>
      </c>
      <c r="C196" t="str">
        <f>$C$56</f>
        <v>FC023</v>
      </c>
      <c r="D196" t="str">
        <f>$D$56</f>
        <v>FDIC_TOTAL_SECURITIES</v>
      </c>
      <c r="E196" t="str">
        <f>$E$56</f>
        <v>Dynamic</v>
      </c>
      <c r="F196">
        <f ca="1">_xll.BDH($B$56,$C$56,$B$143,$B$144,CONCATENATE("Per=",$B$141),"Dts=H","Dir=H",CONCATENATE("Points=",$B$142),"Sort=R","Days=A","Fill=B",CONCATENATE("FX=", $B$140),"cols=60;rows=1")</f>
        <v>43640.821000000004</v>
      </c>
      <c r="G196">
        <v>44162.175999999999</v>
      </c>
      <c r="H196">
        <v>42490.555999999997</v>
      </c>
      <c r="I196">
        <v>42216.74</v>
      </c>
      <c r="J196">
        <v>41055.000999999997</v>
      </c>
      <c r="K196">
        <v>38010.877999999997</v>
      </c>
      <c r="L196">
        <v>39811.184999999998</v>
      </c>
      <c r="M196">
        <v>41063.053999999996</v>
      </c>
      <c r="N196">
        <v>40474.06</v>
      </c>
      <c r="O196">
        <v>40479.027000000002</v>
      </c>
      <c r="P196">
        <v>41732.016000000003</v>
      </c>
      <c r="Q196">
        <v>42341.27</v>
      </c>
      <c r="R196">
        <v>40906.214999999997</v>
      </c>
      <c r="S196">
        <v>38108.432999999997</v>
      </c>
      <c r="T196">
        <v>34330.057000000001</v>
      </c>
      <c r="U196">
        <v>27189.637999999999</v>
      </c>
      <c r="V196">
        <v>25346.447</v>
      </c>
      <c r="W196">
        <v>23363.683000000001</v>
      </c>
      <c r="X196">
        <v>22713.115000000002</v>
      </c>
      <c r="Y196">
        <v>24814.678</v>
      </c>
      <c r="Z196">
        <v>23218.286</v>
      </c>
      <c r="AA196">
        <v>22715.868999999999</v>
      </c>
      <c r="AB196">
        <v>22398.909</v>
      </c>
      <c r="AC196">
        <v>22729.608</v>
      </c>
      <c r="AD196">
        <v>22344.978999999999</v>
      </c>
      <c r="AE196">
        <v>22192.288</v>
      </c>
      <c r="AF196">
        <v>22751.955000000002</v>
      </c>
      <c r="AG196">
        <v>23395.888999999999</v>
      </c>
      <c r="AH196">
        <v>23979.212</v>
      </c>
      <c r="AI196">
        <v>23558.440999999999</v>
      </c>
      <c r="AJ196">
        <v>23082.411</v>
      </c>
      <c r="AK196">
        <v>23154.493999999999</v>
      </c>
      <c r="AL196">
        <v>22822.072</v>
      </c>
      <c r="AM196">
        <v>21279.681</v>
      </c>
      <c r="AN196">
        <v>14977.852000000001</v>
      </c>
      <c r="AO196">
        <v>14932.065000000001</v>
      </c>
      <c r="AP196">
        <v>14602.245000000001</v>
      </c>
      <c r="AQ196">
        <v>13920.138000000001</v>
      </c>
      <c r="AR196">
        <v>13226.936</v>
      </c>
      <c r="AS196">
        <v>12927.290999999999</v>
      </c>
      <c r="AT196">
        <v>12433.014999999999</v>
      </c>
      <c r="AU196">
        <v>11886.975</v>
      </c>
      <c r="AV196">
        <v>11781.972</v>
      </c>
      <c r="AW196">
        <v>11166.361000000001</v>
      </c>
      <c r="AX196">
        <v>10824.429</v>
      </c>
      <c r="AY196">
        <v>8365.34</v>
      </c>
      <c r="AZ196">
        <v>8671.7150000000001</v>
      </c>
      <c r="BA196">
        <v>8885.9740000000002</v>
      </c>
      <c r="BB196">
        <v>9001.98</v>
      </c>
      <c r="BC196">
        <v>9059.2540000000008</v>
      </c>
      <c r="BD196">
        <v>8969.1290000000008</v>
      </c>
      <c r="BE196">
        <v>9240.2279999999992</v>
      </c>
      <c r="BF196">
        <v>8432.0499999999993</v>
      </c>
      <c r="BG196">
        <v>9061.5</v>
      </c>
      <c r="BH196">
        <v>8466.5329999999994</v>
      </c>
      <c r="BI196">
        <v>9013.9770000000008</v>
      </c>
      <c r="BJ196">
        <v>9586.5220000000008</v>
      </c>
      <c r="BK196">
        <v>9413.4159999999993</v>
      </c>
      <c r="BL196">
        <v>8498.8040000000001</v>
      </c>
      <c r="BM196">
        <v>8641.4490000000005</v>
      </c>
      <c r="BN196" t="str">
        <f>""</f>
        <v/>
      </c>
      <c r="BO196" t="str">
        <f>""</f>
        <v/>
      </c>
      <c r="BP196" t="str">
        <f>""</f>
        <v/>
      </c>
      <c r="BQ196" t="str">
        <f>""</f>
        <v/>
      </c>
      <c r="BR196" t="str">
        <f>""</f>
        <v/>
      </c>
      <c r="BS196" t="str">
        <f>""</f>
        <v/>
      </c>
      <c r="BT196" t="str">
        <f>""</f>
        <v/>
      </c>
      <c r="BU196" t="str">
        <f>""</f>
        <v/>
      </c>
      <c r="BV196" t="str">
        <f>""</f>
        <v/>
      </c>
      <c r="BW196" t="str">
        <f>""</f>
        <v/>
      </c>
      <c r="BX196" t="str">
        <f>""</f>
        <v/>
      </c>
      <c r="BY196" t="str">
        <f>""</f>
        <v/>
      </c>
      <c r="BZ196" t="str">
        <f>""</f>
        <v/>
      </c>
      <c r="CA196" t="str">
        <f>""</f>
        <v/>
      </c>
      <c r="CB196" t="str">
        <f>""</f>
        <v/>
      </c>
      <c r="CC196" t="str">
        <f>""</f>
        <v/>
      </c>
      <c r="CD196" t="str">
        <f>""</f>
        <v/>
      </c>
      <c r="CE196" t="str">
        <f>""</f>
        <v/>
      </c>
      <c r="CF196" t="str">
        <f>""</f>
        <v/>
      </c>
      <c r="CG196" t="str">
        <f>""</f>
        <v/>
      </c>
      <c r="CH196" t="str">
        <f>""</f>
        <v/>
      </c>
      <c r="CI196" t="str">
        <f>""</f>
        <v/>
      </c>
      <c r="CJ196" t="str">
        <f>""</f>
        <v/>
      </c>
      <c r="CK196" t="str">
        <f>""</f>
        <v/>
      </c>
      <c r="CL196" t="str">
        <f>""</f>
        <v/>
      </c>
      <c r="CM196" t="str">
        <f>""</f>
        <v/>
      </c>
      <c r="CN196" t="str">
        <f>""</f>
        <v/>
      </c>
      <c r="CO196" t="str">
        <f>""</f>
        <v/>
      </c>
      <c r="CP196" t="str">
        <f>""</f>
        <v/>
      </c>
      <c r="CQ196" t="str">
        <f>""</f>
        <v/>
      </c>
      <c r="CR196" t="str">
        <f>""</f>
        <v/>
      </c>
      <c r="CS196" t="str">
        <f>""</f>
        <v/>
      </c>
      <c r="CT196" t="str">
        <f>""</f>
        <v/>
      </c>
      <c r="CU196" t="str">
        <f>""</f>
        <v/>
      </c>
      <c r="CV196" t="str">
        <f>""</f>
        <v/>
      </c>
      <c r="CW196" t="str">
        <f>""</f>
        <v/>
      </c>
      <c r="CX196" t="str">
        <f>""</f>
        <v/>
      </c>
      <c r="CY196" t="str">
        <f>""</f>
        <v/>
      </c>
      <c r="CZ196" t="str">
        <f>""</f>
        <v/>
      </c>
      <c r="DA196" t="str">
        <f>""</f>
        <v/>
      </c>
      <c r="DB196" t="str">
        <f>""</f>
        <v/>
      </c>
      <c r="DC196" t="str">
        <f>""</f>
        <v/>
      </c>
      <c r="DD196" t="str">
        <f>""</f>
        <v/>
      </c>
      <c r="DE196" t="str">
        <f>""</f>
        <v/>
      </c>
      <c r="DF196" t="str">
        <f>""</f>
        <v/>
      </c>
      <c r="DG196" t="str">
        <f>""</f>
        <v/>
      </c>
      <c r="DH196" t="str">
        <f>""</f>
        <v/>
      </c>
      <c r="DI196" t="str">
        <f>""</f>
        <v/>
      </c>
      <c r="DJ196" t="str">
        <f>""</f>
        <v/>
      </c>
      <c r="DK196" t="str">
        <f>""</f>
        <v/>
      </c>
      <c r="DL196" t="str">
        <f>""</f>
        <v/>
      </c>
      <c r="DM196" t="str">
        <f>""</f>
        <v/>
      </c>
      <c r="DN196" t="str">
        <f>""</f>
        <v/>
      </c>
      <c r="DO196" t="str">
        <f>""</f>
        <v/>
      </c>
      <c r="DP196" t="str">
        <f>""</f>
        <v/>
      </c>
      <c r="DQ196" t="str">
        <f>""</f>
        <v/>
      </c>
      <c r="DR196" t="str">
        <f>""</f>
        <v/>
      </c>
      <c r="DS196" t="str">
        <f>""</f>
        <v/>
      </c>
      <c r="DT196" t="str">
        <f>""</f>
        <v/>
      </c>
      <c r="DU196" t="str">
        <f>""</f>
        <v/>
      </c>
    </row>
    <row r="197" spans="1:125" x14ac:dyDescent="0.25">
      <c r="A197" t="str">
        <f>$A$57</f>
        <v xml:space="preserve">                JPMorgan Chase &amp; Co</v>
      </c>
      <c r="B197" t="str">
        <f>$B$57</f>
        <v>JPM US Equity</v>
      </c>
      <c r="C197" t="str">
        <f>$C$57</f>
        <v>FC023</v>
      </c>
      <c r="D197" t="str">
        <f>$D$57</f>
        <v>FDIC_TOTAL_SECURITIES</v>
      </c>
      <c r="E197" t="str">
        <f>$E$57</f>
        <v>Dynamic</v>
      </c>
      <c r="F197">
        <f ca="1">_xll.BDH($B$57,$C$57,$B$143,$B$144,CONCATENATE("Per=",$B$141),"Dts=H","Dir=H",CONCATENATE("Points=",$B$142),"Sort=R","Days=A","Fill=B",CONCATENATE("FX=", $B$140),"cols=60;rows=1")</f>
        <v>681423</v>
      </c>
      <c r="G197">
        <v>634625</v>
      </c>
      <c r="H197">
        <v>590123</v>
      </c>
      <c r="I197">
        <v>570799</v>
      </c>
      <c r="J197">
        <v>571646</v>
      </c>
      <c r="K197">
        <v>585467</v>
      </c>
      <c r="L197">
        <v>612277</v>
      </c>
      <c r="M197">
        <v>610136</v>
      </c>
      <c r="N197">
        <v>631229</v>
      </c>
      <c r="O197">
        <v>618297</v>
      </c>
      <c r="P197">
        <v>663765</v>
      </c>
      <c r="Q197">
        <v>679499</v>
      </c>
      <c r="R197">
        <v>672271</v>
      </c>
      <c r="S197">
        <v>595202</v>
      </c>
      <c r="T197">
        <v>573721</v>
      </c>
      <c r="U197">
        <v>597488</v>
      </c>
      <c r="V197">
        <v>590077</v>
      </c>
      <c r="W197">
        <v>531256</v>
      </c>
      <c r="X197">
        <v>558814</v>
      </c>
      <c r="Y197">
        <v>471087</v>
      </c>
      <c r="Z197">
        <v>398162</v>
      </c>
      <c r="AA197">
        <v>394177</v>
      </c>
      <c r="AB197">
        <v>307190</v>
      </c>
      <c r="AC197">
        <v>267290</v>
      </c>
      <c r="AD197">
        <v>261753</v>
      </c>
      <c r="AE197">
        <v>231323</v>
      </c>
      <c r="AF197">
        <v>232940</v>
      </c>
      <c r="AG197">
        <v>238128</v>
      </c>
      <c r="AH197">
        <v>249899</v>
      </c>
      <c r="AI197">
        <v>263230</v>
      </c>
      <c r="AJ197">
        <v>263401</v>
      </c>
      <c r="AK197">
        <v>281792</v>
      </c>
      <c r="AL197">
        <v>288953</v>
      </c>
      <c r="AM197">
        <v>272293</v>
      </c>
      <c r="AN197">
        <v>278504</v>
      </c>
      <c r="AO197">
        <v>285270</v>
      </c>
      <c r="AP197">
        <v>290544</v>
      </c>
      <c r="AQ197">
        <v>306242</v>
      </c>
      <c r="AR197">
        <v>317366</v>
      </c>
      <c r="AS197">
        <v>330113</v>
      </c>
      <c r="AT197">
        <v>346901</v>
      </c>
      <c r="AU197">
        <v>365050</v>
      </c>
      <c r="AV197">
        <v>360508</v>
      </c>
      <c r="AW197">
        <v>350339</v>
      </c>
      <c r="AX197">
        <v>352962</v>
      </c>
      <c r="AY197">
        <v>355609</v>
      </c>
      <c r="AZ197">
        <v>353137</v>
      </c>
      <c r="BA197">
        <v>363365</v>
      </c>
      <c r="BB197">
        <v>368369</v>
      </c>
      <c r="BC197">
        <v>362367</v>
      </c>
      <c r="BD197">
        <v>351602</v>
      </c>
      <c r="BE197">
        <v>378698</v>
      </c>
      <c r="BF197">
        <v>361776</v>
      </c>
      <c r="BG197">
        <v>334376</v>
      </c>
      <c r="BH197">
        <v>319880</v>
      </c>
      <c r="BI197">
        <v>331311</v>
      </c>
      <c r="BJ197">
        <v>312689</v>
      </c>
      <c r="BK197">
        <v>337296</v>
      </c>
      <c r="BL197">
        <v>309775</v>
      </c>
      <c r="BM197">
        <v>340169</v>
      </c>
      <c r="BN197" t="str">
        <f>""</f>
        <v/>
      </c>
      <c r="BO197" t="str">
        <f>""</f>
        <v/>
      </c>
      <c r="BP197" t="str">
        <f>""</f>
        <v/>
      </c>
      <c r="BQ197" t="str">
        <f>""</f>
        <v/>
      </c>
      <c r="BR197" t="str">
        <f>""</f>
        <v/>
      </c>
      <c r="BS197" t="str">
        <f>""</f>
        <v/>
      </c>
      <c r="BT197" t="str">
        <f>""</f>
        <v/>
      </c>
      <c r="BU197" t="str">
        <f>""</f>
        <v/>
      </c>
      <c r="BV197" t="str">
        <f>""</f>
        <v/>
      </c>
      <c r="BW197" t="str">
        <f>""</f>
        <v/>
      </c>
      <c r="BX197" t="str">
        <f>""</f>
        <v/>
      </c>
      <c r="BY197" t="str">
        <f>""</f>
        <v/>
      </c>
      <c r="BZ197" t="str">
        <f>""</f>
        <v/>
      </c>
      <c r="CA197" t="str">
        <f>""</f>
        <v/>
      </c>
      <c r="CB197" t="str">
        <f>""</f>
        <v/>
      </c>
      <c r="CC197" t="str">
        <f>""</f>
        <v/>
      </c>
      <c r="CD197" t="str">
        <f>""</f>
        <v/>
      </c>
      <c r="CE197" t="str">
        <f>""</f>
        <v/>
      </c>
      <c r="CF197" t="str">
        <f>""</f>
        <v/>
      </c>
      <c r="CG197" t="str">
        <f>""</f>
        <v/>
      </c>
      <c r="CH197" t="str">
        <f>""</f>
        <v/>
      </c>
      <c r="CI197" t="str">
        <f>""</f>
        <v/>
      </c>
      <c r="CJ197" t="str">
        <f>""</f>
        <v/>
      </c>
      <c r="CK197" t="str">
        <f>""</f>
        <v/>
      </c>
      <c r="CL197" t="str">
        <f>""</f>
        <v/>
      </c>
      <c r="CM197" t="str">
        <f>""</f>
        <v/>
      </c>
      <c r="CN197" t="str">
        <f>""</f>
        <v/>
      </c>
      <c r="CO197" t="str">
        <f>""</f>
        <v/>
      </c>
      <c r="CP197" t="str">
        <f>""</f>
        <v/>
      </c>
      <c r="CQ197" t="str">
        <f>""</f>
        <v/>
      </c>
      <c r="CR197" t="str">
        <f>""</f>
        <v/>
      </c>
      <c r="CS197" t="str">
        <f>""</f>
        <v/>
      </c>
      <c r="CT197" t="str">
        <f>""</f>
        <v/>
      </c>
      <c r="CU197" t="str">
        <f>""</f>
        <v/>
      </c>
      <c r="CV197" t="str">
        <f>""</f>
        <v/>
      </c>
      <c r="CW197" t="str">
        <f>""</f>
        <v/>
      </c>
      <c r="CX197" t="str">
        <f>""</f>
        <v/>
      </c>
      <c r="CY197" t="str">
        <f>""</f>
        <v/>
      </c>
      <c r="CZ197" t="str">
        <f>""</f>
        <v/>
      </c>
      <c r="DA197" t="str">
        <f>""</f>
        <v/>
      </c>
      <c r="DB197" t="str">
        <f>""</f>
        <v/>
      </c>
      <c r="DC197" t="str">
        <f>""</f>
        <v/>
      </c>
      <c r="DD197" t="str">
        <f>""</f>
        <v/>
      </c>
      <c r="DE197" t="str">
        <f>""</f>
        <v/>
      </c>
      <c r="DF197" t="str">
        <f>""</f>
        <v/>
      </c>
      <c r="DG197" t="str">
        <f>""</f>
        <v/>
      </c>
      <c r="DH197" t="str">
        <f>""</f>
        <v/>
      </c>
      <c r="DI197" t="str">
        <f>""</f>
        <v/>
      </c>
      <c r="DJ197" t="str">
        <f>""</f>
        <v/>
      </c>
      <c r="DK197" t="str">
        <f>""</f>
        <v/>
      </c>
      <c r="DL197" t="str">
        <f>""</f>
        <v/>
      </c>
      <c r="DM197" t="str">
        <f>""</f>
        <v/>
      </c>
      <c r="DN197" t="str">
        <f>""</f>
        <v/>
      </c>
      <c r="DO197" t="str">
        <f>""</f>
        <v/>
      </c>
      <c r="DP197" t="str">
        <f>""</f>
        <v/>
      </c>
      <c r="DQ197" t="str">
        <f>""</f>
        <v/>
      </c>
      <c r="DR197" t="str">
        <f>""</f>
        <v/>
      </c>
      <c r="DS197" t="str">
        <f>""</f>
        <v/>
      </c>
      <c r="DT197" t="str">
        <f>""</f>
        <v/>
      </c>
      <c r="DU197" t="str">
        <f>""</f>
        <v/>
      </c>
    </row>
    <row r="198" spans="1:125" x14ac:dyDescent="0.25">
      <c r="A198" t="str">
        <f>$A$58</f>
        <v xml:space="preserve">                KeyCorp</v>
      </c>
      <c r="B198" t="str">
        <f>$B$58</f>
        <v>KEY US Equity</v>
      </c>
      <c r="C198" t="str">
        <f>$C$58</f>
        <v>FC023</v>
      </c>
      <c r="D198" t="str">
        <f>$D$58</f>
        <v>FDIC_TOTAL_SECURITIES</v>
      </c>
      <c r="E198" t="str">
        <f>$E$58</f>
        <v>Dynamic</v>
      </c>
      <c r="F198">
        <f ca="1">_xll.BDH($B$58,$C$58,$B$143,$B$144,CONCATENATE("Per=",$B$141),"Dts=H","Dir=H",CONCATENATE("Points=",$B$142),"Sort=R","Days=A","Fill=B",CONCATENATE("FX=", $B$140),"cols=60;rows=1")</f>
        <v>45101.68</v>
      </c>
      <c r="G198">
        <v>41871.544000000002</v>
      </c>
      <c r="H198">
        <v>45427.466999999997</v>
      </c>
      <c r="I198">
        <v>45569.334000000003</v>
      </c>
      <c r="J198">
        <v>45760.749000000003</v>
      </c>
      <c r="K198">
        <v>44692.523000000001</v>
      </c>
      <c r="L198">
        <v>47096.156999999999</v>
      </c>
      <c r="M198">
        <v>49058.483999999997</v>
      </c>
      <c r="N198">
        <v>47826.631000000001</v>
      </c>
      <c r="O198">
        <v>48163.311999999998</v>
      </c>
      <c r="P198">
        <v>50622.451999999997</v>
      </c>
      <c r="Q198">
        <v>50552.61</v>
      </c>
      <c r="R198">
        <v>52903.764000000003</v>
      </c>
      <c r="S198">
        <v>49016.684000000001</v>
      </c>
      <c r="T198">
        <v>40813.052000000003</v>
      </c>
      <c r="U198">
        <v>40779.788</v>
      </c>
      <c r="V198">
        <v>35151.462</v>
      </c>
      <c r="W198">
        <v>36279.428</v>
      </c>
      <c r="X198">
        <v>32675.236000000001</v>
      </c>
      <c r="Y198">
        <v>30445.383999999998</v>
      </c>
      <c r="Z198">
        <v>31909.654999999999</v>
      </c>
      <c r="AA198">
        <v>32867.71</v>
      </c>
      <c r="AB198">
        <v>32406.241999999998</v>
      </c>
      <c r="AC198">
        <v>32087.847000000002</v>
      </c>
      <c r="AD198">
        <v>30946.788</v>
      </c>
      <c r="AE198">
        <v>30211.076000000001</v>
      </c>
      <c r="AF198">
        <v>29644.917000000001</v>
      </c>
      <c r="AG198">
        <v>30078.173999999999</v>
      </c>
      <c r="AH198">
        <v>29970.674999999999</v>
      </c>
      <c r="AI198">
        <v>29288.106</v>
      </c>
      <c r="AJ198">
        <v>28662.569</v>
      </c>
      <c r="AK198">
        <v>28618.417000000001</v>
      </c>
      <c r="AL198">
        <v>30444.294000000002</v>
      </c>
      <c r="AM198">
        <v>29535.811000000002</v>
      </c>
      <c r="AN198">
        <v>19384.282999999999</v>
      </c>
      <c r="AO198">
        <v>19307.97</v>
      </c>
      <c r="AP198">
        <v>19115.95</v>
      </c>
      <c r="AQ198">
        <v>19312.883000000002</v>
      </c>
      <c r="AR198">
        <v>19266.821</v>
      </c>
      <c r="AS198">
        <v>18125.915000000001</v>
      </c>
      <c r="AT198">
        <v>18375.580999999998</v>
      </c>
      <c r="AU198">
        <v>17242.618999999999</v>
      </c>
      <c r="AV198">
        <v>17457.010999999999</v>
      </c>
      <c r="AW198">
        <v>17184.407999999999</v>
      </c>
      <c r="AX198">
        <v>17102.199000000001</v>
      </c>
      <c r="AY198">
        <v>17441.260999999999</v>
      </c>
      <c r="AZ198">
        <v>18002.858</v>
      </c>
      <c r="BA198">
        <v>17217.502</v>
      </c>
      <c r="BB198">
        <v>16025.14</v>
      </c>
      <c r="BC198">
        <v>16114.743</v>
      </c>
      <c r="BD198">
        <v>17557.204000000002</v>
      </c>
      <c r="BE198">
        <v>17651.486000000001</v>
      </c>
      <c r="BF198">
        <v>18121.199000000001</v>
      </c>
      <c r="BG198">
        <v>18787.642</v>
      </c>
      <c r="BH198">
        <v>18698.998</v>
      </c>
      <c r="BI198">
        <v>19466.971000000001</v>
      </c>
      <c r="BJ198">
        <v>21949.793000000001</v>
      </c>
      <c r="BK198">
        <v>21259.007000000001</v>
      </c>
      <c r="BL198">
        <v>19791.434000000001</v>
      </c>
      <c r="BM198">
        <v>16575.212</v>
      </c>
      <c r="BN198" t="str">
        <f>""</f>
        <v/>
      </c>
      <c r="BO198" t="str">
        <f>""</f>
        <v/>
      </c>
      <c r="BP198" t="str">
        <f>""</f>
        <v/>
      </c>
      <c r="BQ198" t="str">
        <f>""</f>
        <v/>
      </c>
      <c r="BR198" t="str">
        <f>""</f>
        <v/>
      </c>
      <c r="BS198" t="str">
        <f>""</f>
        <v/>
      </c>
      <c r="BT198" t="str">
        <f>""</f>
        <v/>
      </c>
      <c r="BU198" t="str">
        <f>""</f>
        <v/>
      </c>
      <c r="BV198" t="str">
        <f>""</f>
        <v/>
      </c>
      <c r="BW198" t="str">
        <f>""</f>
        <v/>
      </c>
      <c r="BX198" t="str">
        <f>""</f>
        <v/>
      </c>
      <c r="BY198" t="str">
        <f>""</f>
        <v/>
      </c>
      <c r="BZ198" t="str">
        <f>""</f>
        <v/>
      </c>
      <c r="CA198" t="str">
        <f>""</f>
        <v/>
      </c>
      <c r="CB198" t="str">
        <f>""</f>
        <v/>
      </c>
      <c r="CC198" t="str">
        <f>""</f>
        <v/>
      </c>
      <c r="CD198" t="str">
        <f>""</f>
        <v/>
      </c>
      <c r="CE198" t="str">
        <f>""</f>
        <v/>
      </c>
      <c r="CF198" t="str">
        <f>""</f>
        <v/>
      </c>
      <c r="CG198" t="str">
        <f>""</f>
        <v/>
      </c>
      <c r="CH198" t="str">
        <f>""</f>
        <v/>
      </c>
      <c r="CI198" t="str">
        <f>""</f>
        <v/>
      </c>
      <c r="CJ198" t="str">
        <f>""</f>
        <v/>
      </c>
      <c r="CK198" t="str">
        <f>""</f>
        <v/>
      </c>
      <c r="CL198" t="str">
        <f>""</f>
        <v/>
      </c>
      <c r="CM198" t="str">
        <f>""</f>
        <v/>
      </c>
      <c r="CN198" t="str">
        <f>""</f>
        <v/>
      </c>
      <c r="CO198" t="str">
        <f>""</f>
        <v/>
      </c>
      <c r="CP198" t="str">
        <f>""</f>
        <v/>
      </c>
      <c r="CQ198" t="str">
        <f>""</f>
        <v/>
      </c>
      <c r="CR198" t="str">
        <f>""</f>
        <v/>
      </c>
      <c r="CS198" t="str">
        <f>""</f>
        <v/>
      </c>
      <c r="CT198" t="str">
        <f>""</f>
        <v/>
      </c>
      <c r="CU198" t="str">
        <f>""</f>
        <v/>
      </c>
      <c r="CV198" t="str">
        <f>""</f>
        <v/>
      </c>
      <c r="CW198" t="str">
        <f>""</f>
        <v/>
      </c>
      <c r="CX198" t="str">
        <f>""</f>
        <v/>
      </c>
      <c r="CY198" t="str">
        <f>""</f>
        <v/>
      </c>
      <c r="CZ198" t="str">
        <f>""</f>
        <v/>
      </c>
      <c r="DA198" t="str">
        <f>""</f>
        <v/>
      </c>
      <c r="DB198" t="str">
        <f>""</f>
        <v/>
      </c>
      <c r="DC198" t="str">
        <f>""</f>
        <v/>
      </c>
      <c r="DD198" t="str">
        <f>""</f>
        <v/>
      </c>
      <c r="DE198" t="str">
        <f>""</f>
        <v/>
      </c>
      <c r="DF198" t="str">
        <f>""</f>
        <v/>
      </c>
      <c r="DG198" t="str">
        <f>""</f>
        <v/>
      </c>
      <c r="DH198" t="str">
        <f>""</f>
        <v/>
      </c>
      <c r="DI198" t="str">
        <f>""</f>
        <v/>
      </c>
      <c r="DJ198" t="str">
        <f>""</f>
        <v/>
      </c>
      <c r="DK198" t="str">
        <f>""</f>
        <v/>
      </c>
      <c r="DL198" t="str">
        <f>""</f>
        <v/>
      </c>
      <c r="DM198" t="str">
        <f>""</f>
        <v/>
      </c>
      <c r="DN198" t="str">
        <f>""</f>
        <v/>
      </c>
      <c r="DO198" t="str">
        <f>""</f>
        <v/>
      </c>
      <c r="DP198" t="str">
        <f>""</f>
        <v/>
      </c>
      <c r="DQ198" t="str">
        <f>""</f>
        <v/>
      </c>
      <c r="DR198" t="str">
        <f>""</f>
        <v/>
      </c>
      <c r="DS198" t="str">
        <f>""</f>
        <v/>
      </c>
      <c r="DT198" t="str">
        <f>""</f>
        <v/>
      </c>
      <c r="DU198" t="str">
        <f>""</f>
        <v/>
      </c>
    </row>
    <row r="199" spans="1:125" x14ac:dyDescent="0.25">
      <c r="A199" t="str">
        <f>$A$59</f>
        <v xml:space="preserve">                M&amp;T Bank Corp</v>
      </c>
      <c r="B199" t="str">
        <f>$B$59</f>
        <v>MTB US Equity</v>
      </c>
      <c r="C199" t="str">
        <f>$C$59</f>
        <v>FC023</v>
      </c>
      <c r="D199" t="str">
        <f>$D$59</f>
        <v>FDIC_TOTAL_SECURITIES</v>
      </c>
      <c r="E199" t="str">
        <f>$E$59</f>
        <v>Dynamic</v>
      </c>
      <c r="F199">
        <f ca="1">_xll.BDH($B$59,$C$59,$B$143,$B$144,CONCATENATE("Per=",$B$141),"Dts=H","Dir=H",CONCATENATE("Points=",$B$142),"Sort=R","Days=A","Fill=B",CONCATENATE("FX=", $B$140),"cols=60;rows=1")</f>
        <v>33046.788</v>
      </c>
      <c r="G199">
        <v>31232.118999999999</v>
      </c>
      <c r="H199">
        <v>28686.784</v>
      </c>
      <c r="I199">
        <v>27213.850999999999</v>
      </c>
      <c r="J199">
        <v>25772.161</v>
      </c>
      <c r="K199">
        <v>26165.528999999999</v>
      </c>
      <c r="L199">
        <v>26727.764999999999</v>
      </c>
      <c r="M199">
        <v>27242.492999999999</v>
      </c>
      <c r="N199">
        <v>24280.93</v>
      </c>
      <c r="O199">
        <v>23771.207999999999</v>
      </c>
      <c r="P199">
        <v>22080.126</v>
      </c>
      <c r="Q199">
        <v>8885.8250000000007</v>
      </c>
      <c r="R199">
        <v>6690.4780000000001</v>
      </c>
      <c r="S199">
        <v>5977.8329999999996</v>
      </c>
      <c r="T199">
        <v>5677.9809999999998</v>
      </c>
      <c r="U199">
        <v>6142.5720000000001</v>
      </c>
      <c r="V199">
        <v>6571.5950000000003</v>
      </c>
      <c r="W199">
        <v>7241.0320000000002</v>
      </c>
      <c r="X199">
        <v>7980.2560000000003</v>
      </c>
      <c r="Y199">
        <v>8440.6209999999992</v>
      </c>
      <c r="Z199">
        <v>8975.6929999999993</v>
      </c>
      <c r="AA199">
        <v>10016.716</v>
      </c>
      <c r="AB199">
        <v>10984.573</v>
      </c>
      <c r="AC199">
        <v>12040.282999999999</v>
      </c>
      <c r="AD199">
        <v>11999.148999999999</v>
      </c>
      <c r="AE199">
        <v>12573.234</v>
      </c>
      <c r="AF199">
        <v>12759.941000000001</v>
      </c>
      <c r="AG199">
        <v>13526.611999999999</v>
      </c>
      <c r="AH199">
        <v>14249.496999999999</v>
      </c>
      <c r="AI199">
        <v>14658.210999999999</v>
      </c>
      <c r="AJ199">
        <v>15316.383</v>
      </c>
      <c r="AK199">
        <v>15506.337</v>
      </c>
      <c r="AL199">
        <v>15788.643</v>
      </c>
      <c r="AM199">
        <v>14271.812</v>
      </c>
      <c r="AN199">
        <v>14492.683999999999</v>
      </c>
      <c r="AO199">
        <v>14930.563</v>
      </c>
      <c r="AP199">
        <v>15101.674000000001</v>
      </c>
      <c r="AQ199">
        <v>14157.275</v>
      </c>
      <c r="AR199">
        <v>14414.701999999999</v>
      </c>
      <c r="AS199">
        <v>14063.803</v>
      </c>
      <c r="AT199">
        <v>12664.25</v>
      </c>
      <c r="AU199">
        <v>13019.302</v>
      </c>
      <c r="AV199">
        <v>11768.924999999999</v>
      </c>
      <c r="AW199">
        <v>10065.027</v>
      </c>
      <c r="AX199">
        <v>8497.39</v>
      </c>
      <c r="AY199">
        <v>8009.5450000000001</v>
      </c>
      <c r="AZ199">
        <v>4903.0280000000002</v>
      </c>
      <c r="BA199">
        <v>5358.1109999999999</v>
      </c>
      <c r="BB199">
        <v>5769.9189999999999</v>
      </c>
      <c r="BC199">
        <v>6303.3109999999997</v>
      </c>
      <c r="BD199">
        <v>6720.4830000000002</v>
      </c>
      <c r="BE199">
        <v>6836.3220000000001</v>
      </c>
      <c r="BF199">
        <v>7304.299</v>
      </c>
      <c r="BG199">
        <v>6795.3469999999998</v>
      </c>
      <c r="BH199">
        <v>6107.6930000000002</v>
      </c>
      <c r="BI199">
        <v>6115.1559999999999</v>
      </c>
      <c r="BJ199">
        <v>6735.9080000000004</v>
      </c>
      <c r="BK199">
        <v>7206.9309999999996</v>
      </c>
      <c r="BL199">
        <v>7629.3490000000002</v>
      </c>
      <c r="BM199">
        <v>7604.7610000000004</v>
      </c>
      <c r="BN199" t="str">
        <f>""</f>
        <v/>
      </c>
      <c r="BO199" t="str">
        <f>""</f>
        <v/>
      </c>
      <c r="BP199" t="str">
        <f>""</f>
        <v/>
      </c>
      <c r="BQ199" t="str">
        <f>""</f>
        <v/>
      </c>
      <c r="BR199" t="str">
        <f>""</f>
        <v/>
      </c>
      <c r="BS199" t="str">
        <f>""</f>
        <v/>
      </c>
      <c r="BT199" t="str">
        <f>""</f>
        <v/>
      </c>
      <c r="BU199" t="str">
        <f>""</f>
        <v/>
      </c>
      <c r="BV199" t="str">
        <f>""</f>
        <v/>
      </c>
      <c r="BW199" t="str">
        <f>""</f>
        <v/>
      </c>
      <c r="BX199" t="str">
        <f>""</f>
        <v/>
      </c>
      <c r="BY199" t="str">
        <f>""</f>
        <v/>
      </c>
      <c r="BZ199" t="str">
        <f>""</f>
        <v/>
      </c>
      <c r="CA199" t="str">
        <f>""</f>
        <v/>
      </c>
      <c r="CB199" t="str">
        <f>""</f>
        <v/>
      </c>
      <c r="CC199" t="str">
        <f>""</f>
        <v/>
      </c>
      <c r="CD199" t="str">
        <f>""</f>
        <v/>
      </c>
      <c r="CE199" t="str">
        <f>""</f>
        <v/>
      </c>
      <c r="CF199" t="str">
        <f>""</f>
        <v/>
      </c>
      <c r="CG199" t="str">
        <f>""</f>
        <v/>
      </c>
      <c r="CH199" t="str">
        <f>""</f>
        <v/>
      </c>
      <c r="CI199" t="str">
        <f>""</f>
        <v/>
      </c>
      <c r="CJ199" t="str">
        <f>""</f>
        <v/>
      </c>
      <c r="CK199" t="str">
        <f>""</f>
        <v/>
      </c>
      <c r="CL199" t="str">
        <f>""</f>
        <v/>
      </c>
      <c r="CM199" t="str">
        <f>""</f>
        <v/>
      </c>
      <c r="CN199" t="str">
        <f>""</f>
        <v/>
      </c>
      <c r="CO199" t="str">
        <f>""</f>
        <v/>
      </c>
      <c r="CP199" t="str">
        <f>""</f>
        <v/>
      </c>
      <c r="CQ199" t="str">
        <f>""</f>
        <v/>
      </c>
      <c r="CR199" t="str">
        <f>""</f>
        <v/>
      </c>
      <c r="CS199" t="str">
        <f>""</f>
        <v/>
      </c>
      <c r="CT199" t="str">
        <f>""</f>
        <v/>
      </c>
      <c r="CU199" t="str">
        <f>""</f>
        <v/>
      </c>
      <c r="CV199" t="str">
        <f>""</f>
        <v/>
      </c>
      <c r="CW199" t="str">
        <f>""</f>
        <v/>
      </c>
      <c r="CX199" t="str">
        <f>""</f>
        <v/>
      </c>
      <c r="CY199" t="str">
        <f>""</f>
        <v/>
      </c>
      <c r="CZ199" t="str">
        <f>""</f>
        <v/>
      </c>
      <c r="DA199" t="str">
        <f>""</f>
        <v/>
      </c>
      <c r="DB199" t="str">
        <f>""</f>
        <v/>
      </c>
      <c r="DC199" t="str">
        <f>""</f>
        <v/>
      </c>
      <c r="DD199" t="str">
        <f>""</f>
        <v/>
      </c>
      <c r="DE199" t="str">
        <f>""</f>
        <v/>
      </c>
      <c r="DF199" t="str">
        <f>""</f>
        <v/>
      </c>
      <c r="DG199" t="str">
        <f>""</f>
        <v/>
      </c>
      <c r="DH199" t="str">
        <f>""</f>
        <v/>
      </c>
      <c r="DI199" t="str">
        <f>""</f>
        <v/>
      </c>
      <c r="DJ199" t="str">
        <f>""</f>
        <v/>
      </c>
      <c r="DK199" t="str">
        <f>""</f>
        <v/>
      </c>
      <c r="DL199" t="str">
        <f>""</f>
        <v/>
      </c>
      <c r="DM199" t="str">
        <f>""</f>
        <v/>
      </c>
      <c r="DN199" t="str">
        <f>""</f>
        <v/>
      </c>
      <c r="DO199" t="str">
        <f>""</f>
        <v/>
      </c>
      <c r="DP199" t="str">
        <f>""</f>
        <v/>
      </c>
      <c r="DQ199" t="str">
        <f>""</f>
        <v/>
      </c>
      <c r="DR199" t="str">
        <f>""</f>
        <v/>
      </c>
      <c r="DS199" t="str">
        <f>""</f>
        <v/>
      </c>
      <c r="DT199" t="str">
        <f>""</f>
        <v/>
      </c>
      <c r="DU199" t="str">
        <f>""</f>
        <v/>
      </c>
    </row>
    <row r="200" spans="1:125" x14ac:dyDescent="0.25">
      <c r="A200" t="str">
        <f>$A$60</f>
        <v xml:space="preserve">                PNC Financial Services Group I</v>
      </c>
      <c r="B200" t="str">
        <f>$B$60</f>
        <v>PNC US Equity</v>
      </c>
      <c r="C200" t="str">
        <f>$C$60</f>
        <v>FC023</v>
      </c>
      <c r="D200" t="str">
        <f>$D$60</f>
        <v>FDIC_TOTAL_SECURITIES</v>
      </c>
      <c r="E200" t="str">
        <f>$E$60</f>
        <v>Dynamic</v>
      </c>
      <c r="F200">
        <f ca="1">_xll.BDH($B$60,$C$60,$B$143,$B$144,CONCATENATE("Per=",$B$141),"Dts=H","Dir=H",CONCATENATE("Points=",$B$142),"Sort=R","Days=A","Fill=B",CONCATENATE("FX=", $B$140),"cols=60;rows=1")</f>
        <v>139736.617</v>
      </c>
      <c r="G200">
        <v>144188.23699999999</v>
      </c>
      <c r="H200">
        <v>138649.98800000001</v>
      </c>
      <c r="I200">
        <v>130465.18799999999</v>
      </c>
      <c r="J200">
        <v>132574.51</v>
      </c>
      <c r="K200">
        <v>132392.774</v>
      </c>
      <c r="L200">
        <v>135666.88200000001</v>
      </c>
      <c r="M200">
        <v>138245.565</v>
      </c>
      <c r="N200">
        <v>139341.296</v>
      </c>
      <c r="O200">
        <v>136458.48699999999</v>
      </c>
      <c r="P200">
        <v>132736.258</v>
      </c>
      <c r="Q200">
        <v>132414.40100000001</v>
      </c>
      <c r="R200">
        <v>132965.06</v>
      </c>
      <c r="S200">
        <v>125608.85</v>
      </c>
      <c r="T200">
        <v>126546.56299999999</v>
      </c>
      <c r="U200">
        <v>98257.870999999999</v>
      </c>
      <c r="V200">
        <v>88802.517999999996</v>
      </c>
      <c r="W200">
        <v>91188.369000000006</v>
      </c>
      <c r="X200">
        <v>98495.680999999997</v>
      </c>
      <c r="Y200">
        <v>90547.837</v>
      </c>
      <c r="Z200">
        <v>86824.293999999994</v>
      </c>
      <c r="AA200">
        <v>87882.771999999997</v>
      </c>
      <c r="AB200">
        <v>88303.096999999994</v>
      </c>
      <c r="AC200">
        <v>83869.024999999994</v>
      </c>
      <c r="AD200">
        <v>82701.39</v>
      </c>
      <c r="AE200">
        <v>80803.918999999994</v>
      </c>
      <c r="AF200">
        <v>80125.202999999994</v>
      </c>
      <c r="AG200">
        <v>74561.964999999997</v>
      </c>
      <c r="AH200">
        <v>76131.213000000003</v>
      </c>
      <c r="AI200">
        <v>74994.482000000004</v>
      </c>
      <c r="AJ200">
        <v>76430.835999999996</v>
      </c>
      <c r="AK200">
        <v>76431.945999999996</v>
      </c>
      <c r="AL200">
        <v>75947.494000000006</v>
      </c>
      <c r="AM200">
        <v>78513.962</v>
      </c>
      <c r="AN200">
        <v>71800.808000000005</v>
      </c>
      <c r="AO200">
        <v>72569.104000000007</v>
      </c>
      <c r="AP200">
        <v>70527.505999999994</v>
      </c>
      <c r="AQ200">
        <v>68065.967999999993</v>
      </c>
      <c r="AR200">
        <v>61361.548999999999</v>
      </c>
      <c r="AS200">
        <v>60767.786</v>
      </c>
      <c r="AT200">
        <v>55822.758000000002</v>
      </c>
      <c r="AU200">
        <v>55038.758000000002</v>
      </c>
      <c r="AV200">
        <v>56602.114999999998</v>
      </c>
      <c r="AW200">
        <v>58643.964999999997</v>
      </c>
      <c r="AX200">
        <v>60294.237999999998</v>
      </c>
      <c r="AY200">
        <v>57259.887000000002</v>
      </c>
      <c r="AZ200">
        <v>57449.084000000003</v>
      </c>
      <c r="BA200">
        <v>59360.913999999997</v>
      </c>
      <c r="BB200">
        <v>61406.027000000002</v>
      </c>
      <c r="BC200">
        <v>62813.59</v>
      </c>
      <c r="BD200">
        <v>61937.159</v>
      </c>
      <c r="BE200">
        <v>64554.052000000003</v>
      </c>
      <c r="BF200">
        <v>60634.279000000002</v>
      </c>
      <c r="BG200">
        <v>62104.966999999997</v>
      </c>
      <c r="BH200">
        <v>59414.317000000003</v>
      </c>
      <c r="BI200">
        <v>60991.98</v>
      </c>
      <c r="BJ200">
        <v>64261.917999999998</v>
      </c>
      <c r="BK200">
        <v>63460.521999999997</v>
      </c>
      <c r="BL200">
        <v>53717.120000000003</v>
      </c>
      <c r="BM200">
        <v>57606.47</v>
      </c>
      <c r="BN200" t="str">
        <f>""</f>
        <v/>
      </c>
      <c r="BO200" t="str">
        <f>""</f>
        <v/>
      </c>
      <c r="BP200" t="str">
        <f>""</f>
        <v/>
      </c>
      <c r="BQ200" t="str">
        <f>""</f>
        <v/>
      </c>
      <c r="BR200" t="str">
        <f>""</f>
        <v/>
      </c>
      <c r="BS200" t="str">
        <f>""</f>
        <v/>
      </c>
      <c r="BT200" t="str">
        <f>""</f>
        <v/>
      </c>
      <c r="BU200" t="str">
        <f>""</f>
        <v/>
      </c>
      <c r="BV200" t="str">
        <f>""</f>
        <v/>
      </c>
      <c r="BW200" t="str">
        <f>""</f>
        <v/>
      </c>
      <c r="BX200" t="str">
        <f>""</f>
        <v/>
      </c>
      <c r="BY200" t="str">
        <f>""</f>
        <v/>
      </c>
      <c r="BZ200" t="str">
        <f>""</f>
        <v/>
      </c>
      <c r="CA200" t="str">
        <f>""</f>
        <v/>
      </c>
      <c r="CB200" t="str">
        <f>""</f>
        <v/>
      </c>
      <c r="CC200" t="str">
        <f>""</f>
        <v/>
      </c>
      <c r="CD200" t="str">
        <f>""</f>
        <v/>
      </c>
      <c r="CE200" t="str">
        <f>""</f>
        <v/>
      </c>
      <c r="CF200" t="str">
        <f>""</f>
        <v/>
      </c>
      <c r="CG200" t="str">
        <f>""</f>
        <v/>
      </c>
      <c r="CH200" t="str">
        <f>""</f>
        <v/>
      </c>
      <c r="CI200" t="str">
        <f>""</f>
        <v/>
      </c>
      <c r="CJ200" t="str">
        <f>""</f>
        <v/>
      </c>
      <c r="CK200" t="str">
        <f>""</f>
        <v/>
      </c>
      <c r="CL200" t="str">
        <f>""</f>
        <v/>
      </c>
      <c r="CM200" t="str">
        <f>""</f>
        <v/>
      </c>
      <c r="CN200" t="str">
        <f>""</f>
        <v/>
      </c>
      <c r="CO200" t="str">
        <f>""</f>
        <v/>
      </c>
      <c r="CP200" t="str">
        <f>""</f>
        <v/>
      </c>
      <c r="CQ200" t="str">
        <f>""</f>
        <v/>
      </c>
      <c r="CR200" t="str">
        <f>""</f>
        <v/>
      </c>
      <c r="CS200" t="str">
        <f>""</f>
        <v/>
      </c>
      <c r="CT200" t="str">
        <f>""</f>
        <v/>
      </c>
      <c r="CU200" t="str">
        <f>""</f>
        <v/>
      </c>
      <c r="CV200" t="str">
        <f>""</f>
        <v/>
      </c>
      <c r="CW200" t="str">
        <f>""</f>
        <v/>
      </c>
      <c r="CX200" t="str">
        <f>""</f>
        <v/>
      </c>
      <c r="CY200" t="str">
        <f>""</f>
        <v/>
      </c>
      <c r="CZ200" t="str">
        <f>""</f>
        <v/>
      </c>
      <c r="DA200" t="str">
        <f>""</f>
        <v/>
      </c>
      <c r="DB200" t="str">
        <f>""</f>
        <v/>
      </c>
      <c r="DC200" t="str">
        <f>""</f>
        <v/>
      </c>
      <c r="DD200" t="str">
        <f>""</f>
        <v/>
      </c>
      <c r="DE200" t="str">
        <f>""</f>
        <v/>
      </c>
      <c r="DF200" t="str">
        <f>""</f>
        <v/>
      </c>
      <c r="DG200" t="str">
        <f>""</f>
        <v/>
      </c>
      <c r="DH200" t="str">
        <f>""</f>
        <v/>
      </c>
      <c r="DI200" t="str">
        <f>""</f>
        <v/>
      </c>
      <c r="DJ200" t="str">
        <f>""</f>
        <v/>
      </c>
      <c r="DK200" t="str">
        <f>""</f>
        <v/>
      </c>
      <c r="DL200" t="str">
        <f>""</f>
        <v/>
      </c>
      <c r="DM200" t="str">
        <f>""</f>
        <v/>
      </c>
      <c r="DN200" t="str">
        <f>""</f>
        <v/>
      </c>
      <c r="DO200" t="str">
        <f>""</f>
        <v/>
      </c>
      <c r="DP200" t="str">
        <f>""</f>
        <v/>
      </c>
      <c r="DQ200" t="str">
        <f>""</f>
        <v/>
      </c>
      <c r="DR200" t="str">
        <f>""</f>
        <v/>
      </c>
      <c r="DS200" t="str">
        <f>""</f>
        <v/>
      </c>
      <c r="DT200" t="str">
        <f>""</f>
        <v/>
      </c>
      <c r="DU200" t="str">
        <f>""</f>
        <v/>
      </c>
    </row>
    <row r="201" spans="1:125" x14ac:dyDescent="0.25">
      <c r="A201" t="str">
        <f>$A$61</f>
        <v xml:space="preserve">                Regions Financial Corp</v>
      </c>
      <c r="B201" t="str">
        <f>$B$61</f>
        <v>RF US Equity</v>
      </c>
      <c r="C201" t="str">
        <f>$C$61</f>
        <v>FC023</v>
      </c>
      <c r="D201" t="str">
        <f>$D$61</f>
        <v>FDIC_TOTAL_SECURITIES</v>
      </c>
      <c r="E201" t="str">
        <f>$E$61</f>
        <v>Dynamic</v>
      </c>
      <c r="F201">
        <f ca="1">_xll.BDH($B$61,$C$61,$B$143,$B$144,CONCATENATE("Per=",$B$141),"Dts=H","Dir=H",CONCATENATE("Points=",$B$142),"Sort=R","Days=A","Fill=B",CONCATENATE("FX=", $B$140),"cols=60;rows=1")</f>
        <v>30651</v>
      </c>
      <c r="G201">
        <v>31485</v>
      </c>
      <c r="H201">
        <v>29270</v>
      </c>
      <c r="I201">
        <v>28624</v>
      </c>
      <c r="J201">
        <v>28858</v>
      </c>
      <c r="K201">
        <v>26991</v>
      </c>
      <c r="L201">
        <v>28073</v>
      </c>
      <c r="M201">
        <v>29020</v>
      </c>
      <c r="N201">
        <v>28734</v>
      </c>
      <c r="O201">
        <v>28943</v>
      </c>
      <c r="P201">
        <v>29888</v>
      </c>
      <c r="Q201">
        <v>30248</v>
      </c>
      <c r="R201">
        <v>29380</v>
      </c>
      <c r="S201">
        <v>29931</v>
      </c>
      <c r="T201">
        <v>30283</v>
      </c>
      <c r="U201">
        <v>28150</v>
      </c>
      <c r="V201">
        <v>28276</v>
      </c>
      <c r="W201">
        <v>28197</v>
      </c>
      <c r="X201">
        <v>25153</v>
      </c>
      <c r="Y201">
        <v>25071</v>
      </c>
      <c r="Z201">
        <v>23938</v>
      </c>
      <c r="AA201">
        <v>24361</v>
      </c>
      <c r="AB201">
        <v>24114</v>
      </c>
      <c r="AC201">
        <v>25237</v>
      </c>
      <c r="AD201">
        <v>24210.748</v>
      </c>
      <c r="AE201">
        <v>24194.260999999999</v>
      </c>
      <c r="AF201">
        <v>24502.435000000001</v>
      </c>
      <c r="AG201">
        <v>24696.115000000002</v>
      </c>
      <c r="AH201">
        <v>25286.245999999999</v>
      </c>
      <c r="AI201">
        <v>25361.859</v>
      </c>
      <c r="AJ201">
        <v>25361.728999999999</v>
      </c>
      <c r="AK201">
        <v>25298.135999999999</v>
      </c>
      <c r="AL201">
        <v>25143.65</v>
      </c>
      <c r="AM201">
        <v>25290.403999999999</v>
      </c>
      <c r="AN201">
        <v>25139.528999999999</v>
      </c>
      <c r="AO201">
        <v>24995.796999999999</v>
      </c>
      <c r="AP201">
        <v>24656.016</v>
      </c>
      <c r="AQ201">
        <v>24034.432000000001</v>
      </c>
      <c r="AR201">
        <v>24111.472000000002</v>
      </c>
      <c r="AS201">
        <v>24503.901999999998</v>
      </c>
      <c r="AT201">
        <v>24227.447</v>
      </c>
      <c r="AU201">
        <v>24107.075000000001</v>
      </c>
      <c r="AV201">
        <v>23744.019</v>
      </c>
      <c r="AW201">
        <v>23425.442999999999</v>
      </c>
      <c r="AX201">
        <v>23299.49</v>
      </c>
      <c r="AY201">
        <v>23455.887999999999</v>
      </c>
      <c r="AZ201">
        <v>23818.609</v>
      </c>
      <c r="BA201">
        <v>26546.278999999999</v>
      </c>
      <c r="BB201">
        <v>26697.102999999999</v>
      </c>
      <c r="BC201">
        <v>27034.794999999998</v>
      </c>
      <c r="BD201">
        <v>26630.583999999999</v>
      </c>
      <c r="BE201">
        <v>26490.938999999998</v>
      </c>
      <c r="BF201">
        <v>23785.848000000002</v>
      </c>
      <c r="BG201">
        <v>23909.800999999999</v>
      </c>
      <c r="BH201">
        <v>23048.025000000001</v>
      </c>
      <c r="BI201">
        <v>23834.206999999999</v>
      </c>
      <c r="BJ201">
        <v>22422.896000000001</v>
      </c>
      <c r="BK201">
        <v>22667.594000000001</v>
      </c>
      <c r="BL201">
        <v>23244.832999999999</v>
      </c>
      <c r="BM201">
        <v>23283.694</v>
      </c>
      <c r="BN201" t="str">
        <f>""</f>
        <v/>
      </c>
      <c r="BO201" t="str">
        <f>""</f>
        <v/>
      </c>
      <c r="BP201" t="str">
        <f>""</f>
        <v/>
      </c>
      <c r="BQ201" t="str">
        <f>""</f>
        <v/>
      </c>
      <c r="BR201" t="str">
        <f>""</f>
        <v/>
      </c>
      <c r="BS201" t="str">
        <f>""</f>
        <v/>
      </c>
      <c r="BT201" t="str">
        <f>""</f>
        <v/>
      </c>
      <c r="BU201" t="str">
        <f>""</f>
        <v/>
      </c>
      <c r="BV201" t="str">
        <f>""</f>
        <v/>
      </c>
      <c r="BW201" t="str">
        <f>""</f>
        <v/>
      </c>
      <c r="BX201" t="str">
        <f>""</f>
        <v/>
      </c>
      <c r="BY201" t="str">
        <f>""</f>
        <v/>
      </c>
      <c r="BZ201" t="str">
        <f>""</f>
        <v/>
      </c>
      <c r="CA201" t="str">
        <f>""</f>
        <v/>
      </c>
      <c r="CB201" t="str">
        <f>""</f>
        <v/>
      </c>
      <c r="CC201" t="str">
        <f>""</f>
        <v/>
      </c>
      <c r="CD201" t="str">
        <f>""</f>
        <v/>
      </c>
      <c r="CE201" t="str">
        <f>""</f>
        <v/>
      </c>
      <c r="CF201" t="str">
        <f>""</f>
        <v/>
      </c>
      <c r="CG201" t="str">
        <f>""</f>
        <v/>
      </c>
      <c r="CH201" t="str">
        <f>""</f>
        <v/>
      </c>
      <c r="CI201" t="str">
        <f>""</f>
        <v/>
      </c>
      <c r="CJ201" t="str">
        <f>""</f>
        <v/>
      </c>
      <c r="CK201" t="str">
        <f>""</f>
        <v/>
      </c>
      <c r="CL201" t="str">
        <f>""</f>
        <v/>
      </c>
      <c r="CM201" t="str">
        <f>""</f>
        <v/>
      </c>
      <c r="CN201" t="str">
        <f>""</f>
        <v/>
      </c>
      <c r="CO201" t="str">
        <f>""</f>
        <v/>
      </c>
      <c r="CP201" t="str">
        <f>""</f>
        <v/>
      </c>
      <c r="CQ201" t="str">
        <f>""</f>
        <v/>
      </c>
      <c r="CR201" t="str">
        <f>""</f>
        <v/>
      </c>
      <c r="CS201" t="str">
        <f>""</f>
        <v/>
      </c>
      <c r="CT201" t="str">
        <f>""</f>
        <v/>
      </c>
      <c r="CU201" t="str">
        <f>""</f>
        <v/>
      </c>
      <c r="CV201" t="str">
        <f>""</f>
        <v/>
      </c>
      <c r="CW201" t="str">
        <f>""</f>
        <v/>
      </c>
      <c r="CX201" t="str">
        <f>""</f>
        <v/>
      </c>
      <c r="CY201" t="str">
        <f>""</f>
        <v/>
      </c>
      <c r="CZ201" t="str">
        <f>""</f>
        <v/>
      </c>
      <c r="DA201" t="str">
        <f>""</f>
        <v/>
      </c>
      <c r="DB201" t="str">
        <f>""</f>
        <v/>
      </c>
      <c r="DC201" t="str">
        <f>""</f>
        <v/>
      </c>
      <c r="DD201" t="str">
        <f>""</f>
        <v/>
      </c>
      <c r="DE201" t="str">
        <f>""</f>
        <v/>
      </c>
      <c r="DF201" t="str">
        <f>""</f>
        <v/>
      </c>
      <c r="DG201" t="str">
        <f>""</f>
        <v/>
      </c>
      <c r="DH201" t="str">
        <f>""</f>
        <v/>
      </c>
      <c r="DI201" t="str">
        <f>""</f>
        <v/>
      </c>
      <c r="DJ201" t="str">
        <f>""</f>
        <v/>
      </c>
      <c r="DK201" t="str">
        <f>""</f>
        <v/>
      </c>
      <c r="DL201" t="str">
        <f>""</f>
        <v/>
      </c>
      <c r="DM201" t="str">
        <f>""</f>
        <v/>
      </c>
      <c r="DN201" t="str">
        <f>""</f>
        <v/>
      </c>
      <c r="DO201" t="str">
        <f>""</f>
        <v/>
      </c>
      <c r="DP201" t="str">
        <f>""</f>
        <v/>
      </c>
      <c r="DQ201" t="str">
        <f>""</f>
        <v/>
      </c>
      <c r="DR201" t="str">
        <f>""</f>
        <v/>
      </c>
      <c r="DS201" t="str">
        <f>""</f>
        <v/>
      </c>
      <c r="DT201" t="str">
        <f>""</f>
        <v/>
      </c>
      <c r="DU201" t="str">
        <f>""</f>
        <v/>
      </c>
    </row>
    <row r="202" spans="1:125" x14ac:dyDescent="0.25">
      <c r="A202" t="str">
        <f>$A$62</f>
        <v xml:space="preserve">                Truist Financial Corp</v>
      </c>
      <c r="B202" t="str">
        <f>$B$62</f>
        <v>TFC US Equity</v>
      </c>
      <c r="C202" t="str">
        <f>$C$62</f>
        <v>FC023</v>
      </c>
      <c r="D202" t="str">
        <f>$D$62</f>
        <v>FDIC_TOTAL_SECURITIES</v>
      </c>
      <c r="E202" t="str">
        <f>$E$62</f>
        <v>Dynamic</v>
      </c>
      <c r="F202">
        <f ca="1">_xll.BDH($B$62,$C$62,$B$143,$B$144,CONCATENATE("Per=",$B$141),"Dts=H","Dir=H",CONCATENATE("Points=",$B$142),"Sort=R","Days=A","Fill=B",CONCATENATE("FX=", $B$140),"cols=60;rows=1")</f>
        <v>118104</v>
      </c>
      <c r="G202">
        <v>115606</v>
      </c>
      <c r="H202">
        <v>108416</v>
      </c>
      <c r="I202">
        <v>119419</v>
      </c>
      <c r="J202">
        <v>121473</v>
      </c>
      <c r="K202">
        <v>120059</v>
      </c>
      <c r="L202">
        <v>124923</v>
      </c>
      <c r="M202">
        <v>128790</v>
      </c>
      <c r="N202">
        <v>129514</v>
      </c>
      <c r="O202">
        <v>131732</v>
      </c>
      <c r="P202">
        <v>139359</v>
      </c>
      <c r="Q202">
        <v>146415</v>
      </c>
      <c r="R202">
        <v>154617</v>
      </c>
      <c r="S202">
        <v>151038</v>
      </c>
      <c r="T202">
        <v>139879</v>
      </c>
      <c r="U202">
        <v>123807</v>
      </c>
      <c r="V202">
        <v>120788</v>
      </c>
      <c r="W202">
        <v>86132</v>
      </c>
      <c r="X202">
        <v>77805</v>
      </c>
      <c r="Y202">
        <v>78398</v>
      </c>
      <c r="Z202">
        <v>74727</v>
      </c>
      <c r="AA202">
        <v>54765</v>
      </c>
      <c r="AB202">
        <v>45289</v>
      </c>
      <c r="AC202">
        <v>46410</v>
      </c>
      <c r="AD202">
        <v>45590</v>
      </c>
      <c r="AE202">
        <v>45368</v>
      </c>
      <c r="AF202">
        <v>45668</v>
      </c>
      <c r="AG202">
        <v>47407</v>
      </c>
      <c r="AH202">
        <v>47574</v>
      </c>
      <c r="AI202">
        <v>46631</v>
      </c>
      <c r="AJ202">
        <v>45283</v>
      </c>
      <c r="AK202">
        <v>44877.180999999997</v>
      </c>
      <c r="AL202">
        <v>43605.296000000002</v>
      </c>
      <c r="AM202">
        <v>47198.663999999997</v>
      </c>
      <c r="AN202">
        <v>47005.311000000002</v>
      </c>
      <c r="AO202">
        <v>46479.927000000003</v>
      </c>
      <c r="AP202">
        <v>43826.923000000003</v>
      </c>
      <c r="AQ202">
        <v>43493.932000000001</v>
      </c>
      <c r="AR202">
        <v>40620.419000000002</v>
      </c>
      <c r="AS202">
        <v>42089.21</v>
      </c>
      <c r="AT202">
        <v>41147.207999999999</v>
      </c>
      <c r="AU202">
        <v>41891.790999999997</v>
      </c>
      <c r="AV202">
        <v>41368.656000000003</v>
      </c>
      <c r="AW202">
        <v>41308.559000000001</v>
      </c>
      <c r="AX202">
        <v>40204.660000000003</v>
      </c>
      <c r="AY202">
        <v>36393.646999999997</v>
      </c>
      <c r="AZ202">
        <v>38227.559000000001</v>
      </c>
      <c r="BA202">
        <v>37288.548999999999</v>
      </c>
      <c r="BB202">
        <v>38731.660000000003</v>
      </c>
      <c r="BC202">
        <v>37237.745000000003</v>
      </c>
      <c r="BD202">
        <v>37642.955000000002</v>
      </c>
      <c r="BE202">
        <v>37865.072999999997</v>
      </c>
      <c r="BF202">
        <v>36407.224999999999</v>
      </c>
      <c r="BG202">
        <v>32784.584999999999</v>
      </c>
      <c r="BH202">
        <v>27961.501</v>
      </c>
      <c r="BI202">
        <v>26219.155999999999</v>
      </c>
      <c r="BJ202">
        <v>23169.776999999998</v>
      </c>
      <c r="BK202">
        <v>24496.758999999998</v>
      </c>
      <c r="BL202">
        <v>23661.855</v>
      </c>
      <c r="BM202">
        <v>32653.937000000002</v>
      </c>
      <c r="BN202" t="str">
        <f>""</f>
        <v/>
      </c>
      <c r="BO202" t="str">
        <f>""</f>
        <v/>
      </c>
      <c r="BP202" t="str">
        <f>""</f>
        <v/>
      </c>
      <c r="BQ202" t="str">
        <f>""</f>
        <v/>
      </c>
      <c r="BR202" t="str">
        <f>""</f>
        <v/>
      </c>
      <c r="BS202" t="str">
        <f>""</f>
        <v/>
      </c>
      <c r="BT202" t="str">
        <f>""</f>
        <v/>
      </c>
      <c r="BU202" t="str">
        <f>""</f>
        <v/>
      </c>
      <c r="BV202" t="str">
        <f>""</f>
        <v/>
      </c>
      <c r="BW202" t="str">
        <f>""</f>
        <v/>
      </c>
      <c r="BX202" t="str">
        <f>""</f>
        <v/>
      </c>
      <c r="BY202" t="str">
        <f>""</f>
        <v/>
      </c>
      <c r="BZ202" t="str">
        <f>""</f>
        <v/>
      </c>
      <c r="CA202" t="str">
        <f>""</f>
        <v/>
      </c>
      <c r="CB202" t="str">
        <f>""</f>
        <v/>
      </c>
      <c r="CC202" t="str">
        <f>""</f>
        <v/>
      </c>
      <c r="CD202" t="str">
        <f>""</f>
        <v/>
      </c>
      <c r="CE202" t="str">
        <f>""</f>
        <v/>
      </c>
      <c r="CF202" t="str">
        <f>""</f>
        <v/>
      </c>
      <c r="CG202" t="str">
        <f>""</f>
        <v/>
      </c>
      <c r="CH202" t="str">
        <f>""</f>
        <v/>
      </c>
      <c r="CI202" t="str">
        <f>""</f>
        <v/>
      </c>
      <c r="CJ202" t="str">
        <f>""</f>
        <v/>
      </c>
      <c r="CK202" t="str">
        <f>""</f>
        <v/>
      </c>
      <c r="CL202" t="str">
        <f>""</f>
        <v/>
      </c>
      <c r="CM202" t="str">
        <f>""</f>
        <v/>
      </c>
      <c r="CN202" t="str">
        <f>""</f>
        <v/>
      </c>
      <c r="CO202" t="str">
        <f>""</f>
        <v/>
      </c>
      <c r="CP202" t="str">
        <f>""</f>
        <v/>
      </c>
      <c r="CQ202" t="str">
        <f>""</f>
        <v/>
      </c>
      <c r="CR202" t="str">
        <f>""</f>
        <v/>
      </c>
      <c r="CS202" t="str">
        <f>""</f>
        <v/>
      </c>
      <c r="CT202" t="str">
        <f>""</f>
        <v/>
      </c>
      <c r="CU202" t="str">
        <f>""</f>
        <v/>
      </c>
      <c r="CV202" t="str">
        <f>""</f>
        <v/>
      </c>
      <c r="CW202" t="str">
        <f>""</f>
        <v/>
      </c>
      <c r="CX202" t="str">
        <f>""</f>
        <v/>
      </c>
      <c r="CY202" t="str">
        <f>""</f>
        <v/>
      </c>
      <c r="CZ202" t="str">
        <f>""</f>
        <v/>
      </c>
      <c r="DA202" t="str">
        <f>""</f>
        <v/>
      </c>
      <c r="DB202" t="str">
        <f>""</f>
        <v/>
      </c>
      <c r="DC202" t="str">
        <f>""</f>
        <v/>
      </c>
      <c r="DD202" t="str">
        <f>""</f>
        <v/>
      </c>
      <c r="DE202" t="str">
        <f>""</f>
        <v/>
      </c>
      <c r="DF202" t="str">
        <f>""</f>
        <v/>
      </c>
      <c r="DG202" t="str">
        <f>""</f>
        <v/>
      </c>
      <c r="DH202" t="str">
        <f>""</f>
        <v/>
      </c>
      <c r="DI202" t="str">
        <f>""</f>
        <v/>
      </c>
      <c r="DJ202" t="str">
        <f>""</f>
        <v/>
      </c>
      <c r="DK202" t="str">
        <f>""</f>
        <v/>
      </c>
      <c r="DL202" t="str">
        <f>""</f>
        <v/>
      </c>
      <c r="DM202" t="str">
        <f>""</f>
        <v/>
      </c>
      <c r="DN202" t="str">
        <f>""</f>
        <v/>
      </c>
      <c r="DO202" t="str">
        <f>""</f>
        <v/>
      </c>
      <c r="DP202" t="str">
        <f>""</f>
        <v/>
      </c>
      <c r="DQ202" t="str">
        <f>""</f>
        <v/>
      </c>
      <c r="DR202" t="str">
        <f>""</f>
        <v/>
      </c>
      <c r="DS202" t="str">
        <f>""</f>
        <v/>
      </c>
      <c r="DT202" t="str">
        <f>""</f>
        <v/>
      </c>
      <c r="DU202" t="str">
        <f>""</f>
        <v/>
      </c>
    </row>
    <row r="203" spans="1:125" x14ac:dyDescent="0.25">
      <c r="A203" t="str">
        <f>$A$63</f>
        <v xml:space="preserve">                US Bancorp</v>
      </c>
      <c r="B203" t="str">
        <f>$B$63</f>
        <v>USB US Equity</v>
      </c>
      <c r="C203" t="str">
        <f>$C$63</f>
        <v>FC023</v>
      </c>
      <c r="D203" t="str">
        <f>$D$63</f>
        <v>FDIC_TOTAL_SECURITIES</v>
      </c>
      <c r="E203" t="str">
        <f>$E$63</f>
        <v>Dynamic</v>
      </c>
      <c r="F203">
        <f ca="1">_xll.BDH($B$63,$C$63,$B$143,$B$144,CONCATENATE("Per=",$B$141),"Dts=H","Dir=H",CONCATENATE("Points=",$B$142),"Sort=R","Days=A","Fill=B",CONCATENATE("FX=", $B$140),"cols=60;rows=1")</f>
        <v>164626</v>
      </c>
      <c r="G203">
        <v>161729</v>
      </c>
      <c r="H203">
        <v>161285</v>
      </c>
      <c r="I203">
        <v>155374</v>
      </c>
      <c r="J203">
        <v>153751</v>
      </c>
      <c r="K203">
        <v>152549</v>
      </c>
      <c r="L203">
        <v>156159</v>
      </c>
      <c r="M203">
        <v>153953</v>
      </c>
      <c r="N203">
        <v>161650</v>
      </c>
      <c r="O203">
        <v>154097</v>
      </c>
      <c r="P203">
        <v>160309</v>
      </c>
      <c r="Q203">
        <v>167247</v>
      </c>
      <c r="R203">
        <v>174821</v>
      </c>
      <c r="S203">
        <v>149376</v>
      </c>
      <c r="T203">
        <v>160288</v>
      </c>
      <c r="U203">
        <v>156003</v>
      </c>
      <c r="V203">
        <v>136840</v>
      </c>
      <c r="W203">
        <v>134032</v>
      </c>
      <c r="X203">
        <v>128120</v>
      </c>
      <c r="Y203">
        <v>123681</v>
      </c>
      <c r="Z203">
        <v>122613</v>
      </c>
      <c r="AA203">
        <v>121079</v>
      </c>
      <c r="AB203">
        <v>115580</v>
      </c>
      <c r="AC203">
        <v>114398</v>
      </c>
      <c r="AD203">
        <v>112165</v>
      </c>
      <c r="AE203">
        <v>110958</v>
      </c>
      <c r="AF203">
        <v>112402</v>
      </c>
      <c r="AG203">
        <v>111737</v>
      </c>
      <c r="AH203">
        <v>112499</v>
      </c>
      <c r="AI203">
        <v>111790</v>
      </c>
      <c r="AJ203">
        <v>111114</v>
      </c>
      <c r="AK203">
        <v>110424</v>
      </c>
      <c r="AL203">
        <v>109275</v>
      </c>
      <c r="AM203">
        <v>110028</v>
      </c>
      <c r="AN203">
        <v>108520</v>
      </c>
      <c r="AO203">
        <v>107025</v>
      </c>
      <c r="AP203">
        <v>105587</v>
      </c>
      <c r="AQ203">
        <v>105086</v>
      </c>
      <c r="AR203">
        <v>103311</v>
      </c>
      <c r="AS203">
        <v>102423</v>
      </c>
      <c r="AT203">
        <v>101043</v>
      </c>
      <c r="AU203">
        <v>96905</v>
      </c>
      <c r="AV203">
        <v>90384</v>
      </c>
      <c r="AW203">
        <v>85473</v>
      </c>
      <c r="AX203">
        <v>79855</v>
      </c>
      <c r="AY203">
        <v>76211</v>
      </c>
      <c r="AZ203">
        <v>74975</v>
      </c>
      <c r="BA203">
        <v>75286</v>
      </c>
      <c r="BB203">
        <v>74528</v>
      </c>
      <c r="BC203">
        <v>74145</v>
      </c>
      <c r="BD203">
        <v>73948</v>
      </c>
      <c r="BE203">
        <v>74254</v>
      </c>
      <c r="BF203">
        <v>70814</v>
      </c>
      <c r="BG203">
        <v>68378</v>
      </c>
      <c r="BH203">
        <v>65579</v>
      </c>
      <c r="BI203">
        <v>60461</v>
      </c>
      <c r="BJ203">
        <v>52978</v>
      </c>
      <c r="BK203">
        <v>48963</v>
      </c>
      <c r="BL203">
        <v>48367</v>
      </c>
      <c r="BM203">
        <v>46913</v>
      </c>
      <c r="BN203" t="str">
        <f>""</f>
        <v/>
      </c>
      <c r="BO203" t="str">
        <f>""</f>
        <v/>
      </c>
      <c r="BP203" t="str">
        <f>""</f>
        <v/>
      </c>
      <c r="BQ203" t="str">
        <f>""</f>
        <v/>
      </c>
      <c r="BR203" t="str">
        <f>""</f>
        <v/>
      </c>
      <c r="BS203" t="str">
        <f>""</f>
        <v/>
      </c>
      <c r="BT203" t="str">
        <f>""</f>
        <v/>
      </c>
      <c r="BU203" t="str">
        <f>""</f>
        <v/>
      </c>
      <c r="BV203" t="str">
        <f>""</f>
        <v/>
      </c>
      <c r="BW203" t="str">
        <f>""</f>
        <v/>
      </c>
      <c r="BX203" t="str">
        <f>""</f>
        <v/>
      </c>
      <c r="BY203" t="str">
        <f>""</f>
        <v/>
      </c>
      <c r="BZ203" t="str">
        <f>""</f>
        <v/>
      </c>
      <c r="CA203" t="str">
        <f>""</f>
        <v/>
      </c>
      <c r="CB203" t="str">
        <f>""</f>
        <v/>
      </c>
      <c r="CC203" t="str">
        <f>""</f>
        <v/>
      </c>
      <c r="CD203" t="str">
        <f>""</f>
        <v/>
      </c>
      <c r="CE203" t="str">
        <f>""</f>
        <v/>
      </c>
      <c r="CF203" t="str">
        <f>""</f>
        <v/>
      </c>
      <c r="CG203" t="str">
        <f>""</f>
        <v/>
      </c>
      <c r="CH203" t="str">
        <f>""</f>
        <v/>
      </c>
      <c r="CI203" t="str">
        <f>""</f>
        <v/>
      </c>
      <c r="CJ203" t="str">
        <f>""</f>
        <v/>
      </c>
      <c r="CK203" t="str">
        <f>""</f>
        <v/>
      </c>
      <c r="CL203" t="str">
        <f>""</f>
        <v/>
      </c>
      <c r="CM203" t="str">
        <f>""</f>
        <v/>
      </c>
      <c r="CN203" t="str">
        <f>""</f>
        <v/>
      </c>
      <c r="CO203" t="str">
        <f>""</f>
        <v/>
      </c>
      <c r="CP203" t="str">
        <f>""</f>
        <v/>
      </c>
      <c r="CQ203" t="str">
        <f>""</f>
        <v/>
      </c>
      <c r="CR203" t="str">
        <f>""</f>
        <v/>
      </c>
      <c r="CS203" t="str">
        <f>""</f>
        <v/>
      </c>
      <c r="CT203" t="str">
        <f>""</f>
        <v/>
      </c>
      <c r="CU203" t="str">
        <f>""</f>
        <v/>
      </c>
      <c r="CV203" t="str">
        <f>""</f>
        <v/>
      </c>
      <c r="CW203" t="str">
        <f>""</f>
        <v/>
      </c>
      <c r="CX203" t="str">
        <f>""</f>
        <v/>
      </c>
      <c r="CY203" t="str">
        <f>""</f>
        <v/>
      </c>
      <c r="CZ203" t="str">
        <f>""</f>
        <v/>
      </c>
      <c r="DA203" t="str">
        <f>""</f>
        <v/>
      </c>
      <c r="DB203" t="str">
        <f>""</f>
        <v/>
      </c>
      <c r="DC203" t="str">
        <f>""</f>
        <v/>
      </c>
      <c r="DD203" t="str">
        <f>""</f>
        <v/>
      </c>
      <c r="DE203" t="str">
        <f>""</f>
        <v/>
      </c>
      <c r="DF203" t="str">
        <f>""</f>
        <v/>
      </c>
      <c r="DG203" t="str">
        <f>""</f>
        <v/>
      </c>
      <c r="DH203" t="str">
        <f>""</f>
        <v/>
      </c>
      <c r="DI203" t="str">
        <f>""</f>
        <v/>
      </c>
      <c r="DJ203" t="str">
        <f>""</f>
        <v/>
      </c>
      <c r="DK203" t="str">
        <f>""</f>
        <v/>
      </c>
      <c r="DL203" t="str">
        <f>""</f>
        <v/>
      </c>
      <c r="DM203" t="str">
        <f>""</f>
        <v/>
      </c>
      <c r="DN203" t="str">
        <f>""</f>
        <v/>
      </c>
      <c r="DO203" t="str">
        <f>""</f>
        <v/>
      </c>
      <c r="DP203" t="str">
        <f>""</f>
        <v/>
      </c>
      <c r="DQ203" t="str">
        <f>""</f>
        <v/>
      </c>
      <c r="DR203" t="str">
        <f>""</f>
        <v/>
      </c>
      <c r="DS203" t="str">
        <f>""</f>
        <v/>
      </c>
      <c r="DT203" t="str">
        <f>""</f>
        <v/>
      </c>
      <c r="DU203" t="str">
        <f>""</f>
        <v/>
      </c>
    </row>
    <row r="204" spans="1:125" x14ac:dyDescent="0.25">
      <c r="A204" t="str">
        <f>$A$64</f>
        <v xml:space="preserve">                Wells Fargo &amp; Co</v>
      </c>
      <c r="B204" t="str">
        <f>$B$64</f>
        <v>WFC US Equity</v>
      </c>
      <c r="C204" t="str">
        <f>$C$64</f>
        <v>FC023</v>
      </c>
      <c r="D204" t="str">
        <f>$D$64</f>
        <v>FDIC_TOTAL_SECURITIES</v>
      </c>
      <c r="E204" t="str">
        <f>$E$64</f>
        <v>Dynamic</v>
      </c>
      <c r="F204">
        <f ca="1">_xll.BDH($B$64,$C$64,$B$143,$B$144,CONCATENATE("Per=",$B$141),"Dts=H","Dir=H",CONCATENATE("Points=",$B$142),"Sort=R","Days=A","Fill=B",CONCATENATE("FX=", $B$140),"cols=60;rows=1")</f>
        <v>398021</v>
      </c>
      <c r="G204">
        <v>409245</v>
      </c>
      <c r="H204">
        <v>399585</v>
      </c>
      <c r="I204">
        <v>397051</v>
      </c>
      <c r="J204">
        <v>393249</v>
      </c>
      <c r="K204">
        <v>393738</v>
      </c>
      <c r="L204">
        <v>406687</v>
      </c>
      <c r="M204">
        <v>421622</v>
      </c>
      <c r="N204">
        <v>410738</v>
      </c>
      <c r="O204">
        <v>416365</v>
      </c>
      <c r="P204">
        <v>427698</v>
      </c>
      <c r="Q204">
        <v>449327</v>
      </c>
      <c r="R204">
        <v>449362</v>
      </c>
      <c r="S204">
        <v>448123</v>
      </c>
      <c r="T204">
        <v>450915</v>
      </c>
      <c r="U204">
        <v>433130</v>
      </c>
      <c r="V204">
        <v>426153</v>
      </c>
      <c r="W204">
        <v>403194</v>
      </c>
      <c r="X204">
        <v>397921</v>
      </c>
      <c r="Y204">
        <v>421149</v>
      </c>
      <c r="Z204">
        <v>417392</v>
      </c>
      <c r="AA204">
        <v>424415</v>
      </c>
      <c r="AB204">
        <v>411859</v>
      </c>
      <c r="AC204">
        <v>413089</v>
      </c>
      <c r="AD204">
        <v>414700</v>
      </c>
      <c r="AE204">
        <v>407095</v>
      </c>
      <c r="AF204">
        <v>409893</v>
      </c>
      <c r="AG204">
        <v>413102</v>
      </c>
      <c r="AH204">
        <v>417421</v>
      </c>
      <c r="AI204">
        <v>415146</v>
      </c>
      <c r="AJ204">
        <v>410557</v>
      </c>
      <c r="AK204">
        <v>408683</v>
      </c>
      <c r="AL204">
        <v>408737</v>
      </c>
      <c r="AM204">
        <v>392675</v>
      </c>
      <c r="AN204">
        <v>359930</v>
      </c>
      <c r="AO204">
        <v>339887</v>
      </c>
      <c r="AP204">
        <v>348017</v>
      </c>
      <c r="AQ204">
        <v>345550</v>
      </c>
      <c r="AR204">
        <v>340977</v>
      </c>
      <c r="AS204">
        <v>325028</v>
      </c>
      <c r="AT204">
        <v>313439</v>
      </c>
      <c r="AU204">
        <v>290208</v>
      </c>
      <c r="AV204">
        <v>279864</v>
      </c>
      <c r="AW204">
        <v>271031</v>
      </c>
      <c r="AX204">
        <v>265029</v>
      </c>
      <c r="AY204">
        <v>259874</v>
      </c>
      <c r="AZ204">
        <v>249439</v>
      </c>
      <c r="BA204">
        <v>248160</v>
      </c>
      <c r="BB204">
        <v>235199</v>
      </c>
      <c r="BC204">
        <v>229350</v>
      </c>
      <c r="BD204">
        <v>226846</v>
      </c>
      <c r="BE204">
        <v>230266</v>
      </c>
      <c r="BF204">
        <v>222613</v>
      </c>
      <c r="BG204">
        <v>207176</v>
      </c>
      <c r="BH204">
        <v>186298</v>
      </c>
      <c r="BI204">
        <v>167906</v>
      </c>
      <c r="BJ204">
        <v>172654</v>
      </c>
      <c r="BK204">
        <v>176875</v>
      </c>
      <c r="BL204">
        <v>157931</v>
      </c>
      <c r="BM204">
        <v>162494</v>
      </c>
      <c r="BN204" t="str">
        <f>""</f>
        <v/>
      </c>
      <c r="BO204" t="str">
        <f>""</f>
        <v/>
      </c>
      <c r="BP204" t="str">
        <f>""</f>
        <v/>
      </c>
      <c r="BQ204" t="str">
        <f>""</f>
        <v/>
      </c>
      <c r="BR204" t="str">
        <f>""</f>
        <v/>
      </c>
      <c r="BS204" t="str">
        <f>""</f>
        <v/>
      </c>
      <c r="BT204" t="str">
        <f>""</f>
        <v/>
      </c>
      <c r="BU204" t="str">
        <f>""</f>
        <v/>
      </c>
      <c r="BV204" t="str">
        <f>""</f>
        <v/>
      </c>
      <c r="BW204" t="str">
        <f>""</f>
        <v/>
      </c>
      <c r="BX204" t="str">
        <f>""</f>
        <v/>
      </c>
      <c r="BY204" t="str">
        <f>""</f>
        <v/>
      </c>
      <c r="BZ204" t="str">
        <f>""</f>
        <v/>
      </c>
      <c r="CA204" t="str">
        <f>""</f>
        <v/>
      </c>
      <c r="CB204" t="str">
        <f>""</f>
        <v/>
      </c>
      <c r="CC204" t="str">
        <f>""</f>
        <v/>
      </c>
      <c r="CD204" t="str">
        <f>""</f>
        <v/>
      </c>
      <c r="CE204" t="str">
        <f>""</f>
        <v/>
      </c>
      <c r="CF204" t="str">
        <f>""</f>
        <v/>
      </c>
      <c r="CG204" t="str">
        <f>""</f>
        <v/>
      </c>
      <c r="CH204" t="str">
        <f>""</f>
        <v/>
      </c>
      <c r="CI204" t="str">
        <f>""</f>
        <v/>
      </c>
      <c r="CJ204" t="str">
        <f>""</f>
        <v/>
      </c>
      <c r="CK204" t="str">
        <f>""</f>
        <v/>
      </c>
      <c r="CL204" t="str">
        <f>""</f>
        <v/>
      </c>
      <c r="CM204" t="str">
        <f>""</f>
        <v/>
      </c>
      <c r="CN204" t="str">
        <f>""</f>
        <v/>
      </c>
      <c r="CO204" t="str">
        <f>""</f>
        <v/>
      </c>
      <c r="CP204" t="str">
        <f>""</f>
        <v/>
      </c>
      <c r="CQ204" t="str">
        <f>""</f>
        <v/>
      </c>
      <c r="CR204" t="str">
        <f>""</f>
        <v/>
      </c>
      <c r="CS204" t="str">
        <f>""</f>
        <v/>
      </c>
      <c r="CT204" t="str">
        <f>""</f>
        <v/>
      </c>
      <c r="CU204" t="str">
        <f>""</f>
        <v/>
      </c>
      <c r="CV204" t="str">
        <f>""</f>
        <v/>
      </c>
      <c r="CW204" t="str">
        <f>""</f>
        <v/>
      </c>
      <c r="CX204" t="str">
        <f>""</f>
        <v/>
      </c>
      <c r="CY204" t="str">
        <f>""</f>
        <v/>
      </c>
      <c r="CZ204" t="str">
        <f>""</f>
        <v/>
      </c>
      <c r="DA204" t="str">
        <f>""</f>
        <v/>
      </c>
      <c r="DB204" t="str">
        <f>""</f>
        <v/>
      </c>
      <c r="DC204" t="str">
        <f>""</f>
        <v/>
      </c>
      <c r="DD204" t="str">
        <f>""</f>
        <v/>
      </c>
      <c r="DE204" t="str">
        <f>""</f>
        <v/>
      </c>
      <c r="DF204" t="str">
        <f>""</f>
        <v/>
      </c>
      <c r="DG204" t="str">
        <f>""</f>
        <v/>
      </c>
      <c r="DH204" t="str">
        <f>""</f>
        <v/>
      </c>
      <c r="DI204" t="str">
        <f>""</f>
        <v/>
      </c>
      <c r="DJ204" t="str">
        <f>""</f>
        <v/>
      </c>
      <c r="DK204" t="str">
        <f>""</f>
        <v/>
      </c>
      <c r="DL204" t="str">
        <f>""</f>
        <v/>
      </c>
      <c r="DM204" t="str">
        <f>""</f>
        <v/>
      </c>
      <c r="DN204" t="str">
        <f>""</f>
        <v/>
      </c>
      <c r="DO204" t="str">
        <f>""</f>
        <v/>
      </c>
      <c r="DP204" t="str">
        <f>""</f>
        <v/>
      </c>
      <c r="DQ204" t="str">
        <f>""</f>
        <v/>
      </c>
      <c r="DR204" t="str">
        <f>""</f>
        <v/>
      </c>
      <c r="DS204" t="str">
        <f>""</f>
        <v/>
      </c>
      <c r="DT204" t="str">
        <f>""</f>
        <v/>
      </c>
      <c r="DU204" t="str">
        <f>""</f>
        <v/>
      </c>
    </row>
    <row r="205" spans="1:125" x14ac:dyDescent="0.25">
      <c r="A205" t="str">
        <f>$A$65</f>
        <v xml:space="preserve">                Western Alliance Bancorp</v>
      </c>
      <c r="B205" t="str">
        <f>$B$65</f>
        <v>WAL US Equity</v>
      </c>
      <c r="C205" t="str">
        <f>$C$65</f>
        <v>FC023</v>
      </c>
      <c r="D205" t="str">
        <f>$D$65</f>
        <v>FDIC_TOTAL_SECURITIES</v>
      </c>
      <c r="E205" t="str">
        <f>$E$65</f>
        <v>Dynamic</v>
      </c>
      <c r="F205">
        <f ca="1">_xll.BDH($B$65,$C$65,$B$143,$B$144,CONCATENATE("Per=",$B$141),"Dts=H","Dir=H",CONCATENATE("Points=",$B$142),"Sort=R","Days=A","Fill=B",CONCATENATE("FX=", $B$140),"cols=60;rows=1")</f>
        <v>14995.195</v>
      </c>
      <c r="G205">
        <v>16274.566000000001</v>
      </c>
      <c r="H205">
        <v>17162.75</v>
      </c>
      <c r="I205">
        <v>15970.437</v>
      </c>
      <c r="J205">
        <v>12593.78</v>
      </c>
      <c r="K205">
        <v>11089.68</v>
      </c>
      <c r="L205">
        <v>9998.0300000000007</v>
      </c>
      <c r="M205">
        <v>8970.8240000000005</v>
      </c>
      <c r="N205">
        <v>8381.2800000000007</v>
      </c>
      <c r="O205">
        <v>8229.9519999999993</v>
      </c>
      <c r="P205">
        <v>8485.56</v>
      </c>
      <c r="Q205">
        <v>8013.16</v>
      </c>
      <c r="R205">
        <v>7295.95</v>
      </c>
      <c r="S205">
        <v>7430.55</v>
      </c>
      <c r="T205">
        <v>7583.8710000000001</v>
      </c>
      <c r="U205">
        <v>7637.9070000000002</v>
      </c>
      <c r="V205">
        <v>5277.27</v>
      </c>
      <c r="W205">
        <v>4479.7020000000002</v>
      </c>
      <c r="X205">
        <v>3996.3020000000001</v>
      </c>
      <c r="Y205">
        <v>4160.4260000000004</v>
      </c>
      <c r="Z205">
        <v>3831.4169999999999</v>
      </c>
      <c r="AA205">
        <v>3955.2240000000002</v>
      </c>
      <c r="AB205">
        <v>3689.0909999999999</v>
      </c>
      <c r="AC205">
        <v>3555.1120000000001</v>
      </c>
      <c r="AD205">
        <v>3579.893</v>
      </c>
      <c r="AE205">
        <v>3395.366</v>
      </c>
      <c r="AF205">
        <v>3479.201</v>
      </c>
      <c r="AG205">
        <v>3523.6019999999999</v>
      </c>
      <c r="AH205">
        <v>3754.569</v>
      </c>
      <c r="AI205">
        <v>3707.7640000000001</v>
      </c>
      <c r="AJ205">
        <v>3217.46</v>
      </c>
      <c r="AK205">
        <v>2802.6010000000001</v>
      </c>
      <c r="AL205">
        <v>2701.4589999999998</v>
      </c>
      <c r="AM205">
        <v>2711.6030000000001</v>
      </c>
      <c r="AN205">
        <v>2202.4679999999998</v>
      </c>
      <c r="AO205">
        <v>2034.3340000000001</v>
      </c>
      <c r="AP205">
        <v>1982.5229999999999</v>
      </c>
      <c r="AQ205">
        <v>1932.98</v>
      </c>
      <c r="AR205">
        <v>1478.2339999999999</v>
      </c>
      <c r="AS205">
        <v>1399.4280000000001</v>
      </c>
      <c r="AT205">
        <v>1520.2370000000001</v>
      </c>
      <c r="AU205">
        <v>1570.0619999999999</v>
      </c>
      <c r="AV205">
        <v>1578.6790000000001</v>
      </c>
      <c r="AW205">
        <v>1643.0219999999999</v>
      </c>
      <c r="AX205">
        <v>1656.3340000000001</v>
      </c>
      <c r="AY205">
        <v>1367.17</v>
      </c>
      <c r="AZ205">
        <v>1277.9880000000001</v>
      </c>
      <c r="BA205">
        <v>1297.5719999999999</v>
      </c>
      <c r="BB205">
        <v>1231.587</v>
      </c>
      <c r="BC205">
        <v>1333.375</v>
      </c>
      <c r="BD205">
        <v>1395.65</v>
      </c>
      <c r="BE205">
        <v>1417.068</v>
      </c>
      <c r="BF205">
        <v>1483.9860000000001</v>
      </c>
      <c r="BG205">
        <v>1297.6569999999999</v>
      </c>
      <c r="BH205">
        <v>1130.991</v>
      </c>
      <c r="BI205">
        <v>1308.991</v>
      </c>
      <c r="BJ205">
        <v>1258.797</v>
      </c>
      <c r="BK205">
        <v>897.274</v>
      </c>
      <c r="BL205">
        <v>807.95699999999999</v>
      </c>
      <c r="BM205">
        <v>731.56600000000003</v>
      </c>
      <c r="BN205" t="str">
        <f>""</f>
        <v/>
      </c>
      <c r="BO205" t="str">
        <f>""</f>
        <v/>
      </c>
      <c r="BP205" t="str">
        <f>""</f>
        <v/>
      </c>
      <c r="BQ205" t="str">
        <f>""</f>
        <v/>
      </c>
      <c r="BR205" t="str">
        <f>""</f>
        <v/>
      </c>
      <c r="BS205" t="str">
        <f>""</f>
        <v/>
      </c>
      <c r="BT205" t="str">
        <f>""</f>
        <v/>
      </c>
      <c r="BU205" t="str">
        <f>""</f>
        <v/>
      </c>
      <c r="BV205" t="str">
        <f>""</f>
        <v/>
      </c>
      <c r="BW205" t="str">
        <f>""</f>
        <v/>
      </c>
      <c r="BX205" t="str">
        <f>""</f>
        <v/>
      </c>
      <c r="BY205" t="str">
        <f>""</f>
        <v/>
      </c>
      <c r="BZ205" t="str">
        <f>""</f>
        <v/>
      </c>
      <c r="CA205" t="str">
        <f>""</f>
        <v/>
      </c>
      <c r="CB205" t="str">
        <f>""</f>
        <v/>
      </c>
      <c r="CC205" t="str">
        <f>""</f>
        <v/>
      </c>
      <c r="CD205" t="str">
        <f>""</f>
        <v/>
      </c>
      <c r="CE205" t="str">
        <f>""</f>
        <v/>
      </c>
      <c r="CF205" t="str">
        <f>""</f>
        <v/>
      </c>
      <c r="CG205" t="str">
        <f>""</f>
        <v/>
      </c>
      <c r="CH205" t="str">
        <f>""</f>
        <v/>
      </c>
      <c r="CI205" t="str">
        <f>""</f>
        <v/>
      </c>
      <c r="CJ205" t="str">
        <f>""</f>
        <v/>
      </c>
      <c r="CK205" t="str">
        <f>""</f>
        <v/>
      </c>
      <c r="CL205" t="str">
        <f>""</f>
        <v/>
      </c>
      <c r="CM205" t="str">
        <f>""</f>
        <v/>
      </c>
      <c r="CN205" t="str">
        <f>""</f>
        <v/>
      </c>
      <c r="CO205" t="str">
        <f>""</f>
        <v/>
      </c>
      <c r="CP205" t="str">
        <f>""</f>
        <v/>
      </c>
      <c r="CQ205" t="str">
        <f>""</f>
        <v/>
      </c>
      <c r="CR205" t="str">
        <f>""</f>
        <v/>
      </c>
      <c r="CS205" t="str">
        <f>""</f>
        <v/>
      </c>
      <c r="CT205" t="str">
        <f>""</f>
        <v/>
      </c>
      <c r="CU205" t="str">
        <f>""</f>
        <v/>
      </c>
      <c r="CV205" t="str">
        <f>""</f>
        <v/>
      </c>
      <c r="CW205" t="str">
        <f>""</f>
        <v/>
      </c>
      <c r="CX205" t="str">
        <f>""</f>
        <v/>
      </c>
      <c r="CY205" t="str">
        <f>""</f>
        <v/>
      </c>
      <c r="CZ205" t="str">
        <f>""</f>
        <v/>
      </c>
      <c r="DA205" t="str">
        <f>""</f>
        <v/>
      </c>
      <c r="DB205" t="str">
        <f>""</f>
        <v/>
      </c>
      <c r="DC205" t="str">
        <f>""</f>
        <v/>
      </c>
      <c r="DD205" t="str">
        <f>""</f>
        <v/>
      </c>
      <c r="DE205" t="str">
        <f>""</f>
        <v/>
      </c>
      <c r="DF205" t="str">
        <f>""</f>
        <v/>
      </c>
      <c r="DG205" t="str">
        <f>""</f>
        <v/>
      </c>
      <c r="DH205" t="str">
        <f>""</f>
        <v/>
      </c>
      <c r="DI205" t="str">
        <f>""</f>
        <v/>
      </c>
      <c r="DJ205" t="str">
        <f>""</f>
        <v/>
      </c>
      <c r="DK205" t="str">
        <f>""</f>
        <v/>
      </c>
      <c r="DL205" t="str">
        <f>""</f>
        <v/>
      </c>
      <c r="DM205" t="str">
        <f>""</f>
        <v/>
      </c>
      <c r="DN205" t="str">
        <f>""</f>
        <v/>
      </c>
      <c r="DO205" t="str">
        <f>""</f>
        <v/>
      </c>
      <c r="DP205" t="str">
        <f>""</f>
        <v/>
      </c>
      <c r="DQ205" t="str">
        <f>""</f>
        <v/>
      </c>
      <c r="DR205" t="str">
        <f>""</f>
        <v/>
      </c>
      <c r="DS205" t="str">
        <f>""</f>
        <v/>
      </c>
      <c r="DT205" t="str">
        <f>""</f>
        <v/>
      </c>
      <c r="DU205" t="str">
        <f>""</f>
        <v/>
      </c>
    </row>
    <row r="206" spans="1:125" x14ac:dyDescent="0.25">
      <c r="A206" t="str">
        <f>$A$66</f>
        <v xml:space="preserve">                Zions Bancorp NA</v>
      </c>
      <c r="B206" t="str">
        <f>$B$66</f>
        <v>ZION US Equity</v>
      </c>
      <c r="C206" t="str">
        <f>$C$66</f>
        <v>FC023</v>
      </c>
      <c r="D206" t="str">
        <f>$D$66</f>
        <v>FDIC_TOTAL_SECURITIES</v>
      </c>
      <c r="E206" t="str">
        <f>$E$66</f>
        <v>Dynamic</v>
      </c>
      <c r="F206">
        <f ca="1">_xll.BDH($B$66,$C$66,$B$143,$B$144,CONCATENATE("Per=",$B$141),"Dts=H","Dir=H",CONCATENATE("Points=",$B$142),"Sort=R","Days=A","Fill=B",CONCATENATE("FX=", $B$140),"cols=60;rows=1")</f>
        <v>19125.356</v>
      </c>
      <c r="G206">
        <v>19692.332999999999</v>
      </c>
      <c r="H206">
        <v>19755.275000000001</v>
      </c>
      <c r="I206">
        <v>20312.064999999999</v>
      </c>
      <c r="J206">
        <v>21160.696</v>
      </c>
      <c r="K206">
        <v>20936.105</v>
      </c>
      <c r="L206">
        <v>21687.883000000002</v>
      </c>
      <c r="M206">
        <v>22930.731</v>
      </c>
      <c r="N206">
        <v>23434.858</v>
      </c>
      <c r="O206">
        <v>23656.143</v>
      </c>
      <c r="P206">
        <v>25910.753000000001</v>
      </c>
      <c r="Q206">
        <v>26583.671999999999</v>
      </c>
      <c r="R206">
        <v>24489.09</v>
      </c>
      <c r="S206">
        <v>20919.72</v>
      </c>
      <c r="T206">
        <v>18790.311000000002</v>
      </c>
      <c r="U206">
        <v>17226.535</v>
      </c>
      <c r="Y206">
        <v>14815.705</v>
      </c>
      <c r="BN206" t="str">
        <f>""</f>
        <v/>
      </c>
      <c r="BO206" t="str">
        <f>""</f>
        <v/>
      </c>
      <c r="BP206" t="str">
        <f>""</f>
        <v/>
      </c>
      <c r="BQ206" t="str">
        <f>""</f>
        <v/>
      </c>
      <c r="BR206" t="str">
        <f>""</f>
        <v/>
      </c>
      <c r="BS206" t="str">
        <f>""</f>
        <v/>
      </c>
      <c r="BT206" t="str">
        <f>""</f>
        <v/>
      </c>
      <c r="BU206" t="str">
        <f>""</f>
        <v/>
      </c>
      <c r="BV206" t="str">
        <f>""</f>
        <v/>
      </c>
      <c r="BW206" t="str">
        <f>""</f>
        <v/>
      </c>
      <c r="BX206" t="str">
        <f>""</f>
        <v/>
      </c>
      <c r="BY206" t="str">
        <f>""</f>
        <v/>
      </c>
      <c r="BZ206" t="str">
        <f>""</f>
        <v/>
      </c>
      <c r="CA206" t="str">
        <f>""</f>
        <v/>
      </c>
      <c r="CB206" t="str">
        <f>""</f>
        <v/>
      </c>
      <c r="CC206" t="str">
        <f>""</f>
        <v/>
      </c>
      <c r="CD206" t="str">
        <f>""</f>
        <v/>
      </c>
      <c r="CE206" t="str">
        <f>""</f>
        <v/>
      </c>
      <c r="CF206" t="str">
        <f>""</f>
        <v/>
      </c>
      <c r="CG206" t="str">
        <f>""</f>
        <v/>
      </c>
      <c r="CH206" t="str">
        <f>""</f>
        <v/>
      </c>
      <c r="CI206" t="str">
        <f>""</f>
        <v/>
      </c>
      <c r="CJ206" t="str">
        <f>""</f>
        <v/>
      </c>
      <c r="CK206" t="str">
        <f>""</f>
        <v/>
      </c>
      <c r="CL206" t="str">
        <f>""</f>
        <v/>
      </c>
      <c r="CM206" t="str">
        <f>""</f>
        <v/>
      </c>
      <c r="CN206" t="str">
        <f>""</f>
        <v/>
      </c>
      <c r="CO206" t="str">
        <f>""</f>
        <v/>
      </c>
      <c r="CP206" t="str">
        <f>""</f>
        <v/>
      </c>
      <c r="CQ206" t="str">
        <f>""</f>
        <v/>
      </c>
      <c r="CR206" t="str">
        <f>""</f>
        <v/>
      </c>
      <c r="CS206" t="str">
        <f>""</f>
        <v/>
      </c>
      <c r="CT206" t="str">
        <f>""</f>
        <v/>
      </c>
      <c r="CU206" t="str">
        <f>""</f>
        <v/>
      </c>
      <c r="CV206" t="str">
        <f>""</f>
        <v/>
      </c>
      <c r="CW206" t="str">
        <f>""</f>
        <v/>
      </c>
      <c r="CX206" t="str">
        <f>""</f>
        <v/>
      </c>
      <c r="CY206" t="str">
        <f>""</f>
        <v/>
      </c>
      <c r="CZ206" t="str">
        <f>""</f>
        <v/>
      </c>
      <c r="DA206" t="str">
        <f>""</f>
        <v/>
      </c>
      <c r="DB206" t="str">
        <f>""</f>
        <v/>
      </c>
      <c r="DC206" t="str">
        <f>""</f>
        <v/>
      </c>
      <c r="DD206" t="str">
        <f>""</f>
        <v/>
      </c>
      <c r="DE206" t="str">
        <f>""</f>
        <v/>
      </c>
      <c r="DF206" t="str">
        <f>""</f>
        <v/>
      </c>
      <c r="DG206" t="str">
        <f>""</f>
        <v/>
      </c>
      <c r="DH206" t="str">
        <f>""</f>
        <v/>
      </c>
      <c r="DI206" t="str">
        <f>""</f>
        <v/>
      </c>
      <c r="DJ206" t="str">
        <f>""</f>
        <v/>
      </c>
      <c r="DK206" t="str">
        <f>""</f>
        <v/>
      </c>
      <c r="DL206" t="str">
        <f>""</f>
        <v/>
      </c>
      <c r="DM206" t="str">
        <f>""</f>
        <v/>
      </c>
      <c r="DN206" t="str">
        <f>""</f>
        <v/>
      </c>
      <c r="DO206" t="str">
        <f>""</f>
        <v/>
      </c>
      <c r="DP206" t="str">
        <f>""</f>
        <v/>
      </c>
      <c r="DQ206" t="str">
        <f>""</f>
        <v/>
      </c>
      <c r="DR206" t="str">
        <f>""</f>
        <v/>
      </c>
      <c r="DS206" t="str">
        <f>""</f>
        <v/>
      </c>
      <c r="DT206" t="str">
        <f>""</f>
        <v/>
      </c>
      <c r="DU206" t="str">
        <f>""</f>
        <v/>
      </c>
    </row>
    <row r="207" spans="1:125" x14ac:dyDescent="0.25">
      <c r="A207" t="str">
        <f>$A$68</f>
        <v xml:space="preserve">            Bank of America Corp</v>
      </c>
      <c r="B207" t="str">
        <f>$B$68</f>
        <v>BAC US Equity</v>
      </c>
      <c r="C207" t="str">
        <f>$C$68</f>
        <v>FC070</v>
      </c>
      <c r="D207" t="str">
        <f>$D$68</f>
        <v>FDIC_TRADING_ACCT_ASSETS</v>
      </c>
      <c r="E207" t="str">
        <f>$E$68</f>
        <v>Dynamic</v>
      </c>
      <c r="F207">
        <f ca="1">_xll.BDH($B$68,$C$68,$B$143,$B$144,CONCATENATE("Per=",$B$141),"Dts=H","Dir=H",CONCATENATE("Points=",$B$142),"Sort=R","Days=A","Fill=B",CONCATENATE("FX=", $B$140),"cols=60;rows=1")</f>
        <v>367275</v>
      </c>
      <c r="G207">
        <v>386057</v>
      </c>
      <c r="H207">
        <v>351987</v>
      </c>
      <c r="I207">
        <v>364440</v>
      </c>
      <c r="J207">
        <v>326728</v>
      </c>
      <c r="K207">
        <v>363628</v>
      </c>
      <c r="L207">
        <v>367780</v>
      </c>
      <c r="M207">
        <v>366006</v>
      </c>
      <c r="N207">
        <v>353420</v>
      </c>
      <c r="O207">
        <v>374876</v>
      </c>
      <c r="P207">
        <v>363345</v>
      </c>
      <c r="Q207">
        <v>369593</v>
      </c>
      <c r="R207">
        <v>290087</v>
      </c>
      <c r="S207">
        <v>337848</v>
      </c>
      <c r="T207">
        <v>341348</v>
      </c>
      <c r="U207">
        <v>331848</v>
      </c>
      <c r="V207">
        <v>256866</v>
      </c>
      <c r="W207">
        <v>310150</v>
      </c>
      <c r="X207">
        <v>283751</v>
      </c>
      <c r="Y207">
        <v>262239</v>
      </c>
      <c r="Z207">
        <v>277292</v>
      </c>
      <c r="AA207">
        <v>314659</v>
      </c>
      <c r="AB207">
        <v>304461</v>
      </c>
      <c r="AC207">
        <v>290022</v>
      </c>
      <c r="AD207">
        <v>265770</v>
      </c>
      <c r="AE207">
        <v>276220</v>
      </c>
      <c r="AF207">
        <v>260471</v>
      </c>
      <c r="AG207">
        <v>258614</v>
      </c>
      <c r="AH207">
        <v>258907</v>
      </c>
      <c r="AI207">
        <v>265071</v>
      </c>
      <c r="AJ207">
        <v>270253</v>
      </c>
      <c r="AK207">
        <v>261329</v>
      </c>
      <c r="AL207">
        <v>241052</v>
      </c>
      <c r="AM207">
        <v>254908</v>
      </c>
      <c r="AN207">
        <v>247635</v>
      </c>
      <c r="AO207">
        <v>248748</v>
      </c>
      <c r="AP207">
        <v>241957</v>
      </c>
      <c r="AQ207">
        <v>261550</v>
      </c>
      <c r="AR207">
        <v>275438</v>
      </c>
      <c r="AS207">
        <v>279810</v>
      </c>
      <c r="AT207">
        <v>278851</v>
      </c>
      <c r="AU207">
        <v>274243</v>
      </c>
      <c r="AV207">
        <v>282383</v>
      </c>
      <c r="AW207">
        <v>271136</v>
      </c>
      <c r="AX207">
        <v>276875</v>
      </c>
      <c r="AY207">
        <v>280121</v>
      </c>
      <c r="AZ207">
        <v>283242</v>
      </c>
      <c r="BA207">
        <v>314171</v>
      </c>
      <c r="BB207">
        <v>284875.95699999999</v>
      </c>
      <c r="BC207">
        <v>264044.83600000001</v>
      </c>
      <c r="BD207">
        <v>258431.951</v>
      </c>
      <c r="BE207">
        <v>259199.71799999999</v>
      </c>
      <c r="BF207">
        <v>232609.60699999999</v>
      </c>
      <c r="BG207">
        <v>243781.85500000001</v>
      </c>
      <c r="BH207">
        <v>253123.179</v>
      </c>
      <c r="BI207">
        <v>263871.27100000001</v>
      </c>
      <c r="BJ207">
        <v>257688.81599999999</v>
      </c>
      <c r="BK207">
        <v>285809.27799999999</v>
      </c>
      <c r="BL207">
        <v>277100.011</v>
      </c>
      <c r="BM207">
        <v>276859.10100000002</v>
      </c>
      <c r="BN207" t="str">
        <f>""</f>
        <v/>
      </c>
      <c r="BO207" t="str">
        <f>""</f>
        <v/>
      </c>
      <c r="BP207" t="str">
        <f>""</f>
        <v/>
      </c>
      <c r="BQ207" t="str">
        <f>""</f>
        <v/>
      </c>
      <c r="BR207" t="str">
        <f>""</f>
        <v/>
      </c>
      <c r="BS207" t="str">
        <f>""</f>
        <v/>
      </c>
      <c r="BT207" t="str">
        <f>""</f>
        <v/>
      </c>
      <c r="BU207" t="str">
        <f>""</f>
        <v/>
      </c>
      <c r="BV207" t="str">
        <f>""</f>
        <v/>
      </c>
      <c r="BW207" t="str">
        <f>""</f>
        <v/>
      </c>
      <c r="BX207" t="str">
        <f>""</f>
        <v/>
      </c>
      <c r="BY207" t="str">
        <f>""</f>
        <v/>
      </c>
      <c r="BZ207" t="str">
        <f>""</f>
        <v/>
      </c>
      <c r="CA207" t="str">
        <f>""</f>
        <v/>
      </c>
      <c r="CB207" t="str">
        <f>""</f>
        <v/>
      </c>
      <c r="CC207" t="str">
        <f>""</f>
        <v/>
      </c>
      <c r="CD207" t="str">
        <f>""</f>
        <v/>
      </c>
      <c r="CE207" t="str">
        <f>""</f>
        <v/>
      </c>
      <c r="CF207" t="str">
        <f>""</f>
        <v/>
      </c>
      <c r="CG207" t="str">
        <f>""</f>
        <v/>
      </c>
      <c r="CH207" t="str">
        <f>""</f>
        <v/>
      </c>
      <c r="CI207" t="str">
        <f>""</f>
        <v/>
      </c>
      <c r="CJ207" t="str">
        <f>""</f>
        <v/>
      </c>
      <c r="CK207" t="str">
        <f>""</f>
        <v/>
      </c>
      <c r="CL207" t="str">
        <f>""</f>
        <v/>
      </c>
      <c r="CM207" t="str">
        <f>""</f>
        <v/>
      </c>
      <c r="CN207" t="str">
        <f>""</f>
        <v/>
      </c>
      <c r="CO207" t="str">
        <f>""</f>
        <v/>
      </c>
      <c r="CP207" t="str">
        <f>""</f>
        <v/>
      </c>
      <c r="CQ207" t="str">
        <f>""</f>
        <v/>
      </c>
      <c r="CR207" t="str">
        <f>""</f>
        <v/>
      </c>
      <c r="CS207" t="str">
        <f>""</f>
        <v/>
      </c>
      <c r="CT207" t="str">
        <f>""</f>
        <v/>
      </c>
      <c r="CU207" t="str">
        <f>""</f>
        <v/>
      </c>
      <c r="CV207" t="str">
        <f>""</f>
        <v/>
      </c>
      <c r="CW207" t="str">
        <f>""</f>
        <v/>
      </c>
      <c r="CX207" t="str">
        <f>""</f>
        <v/>
      </c>
      <c r="CY207" t="str">
        <f>""</f>
        <v/>
      </c>
      <c r="CZ207" t="str">
        <f>""</f>
        <v/>
      </c>
      <c r="DA207" t="str">
        <f>""</f>
        <v/>
      </c>
      <c r="DB207" t="str">
        <f>""</f>
        <v/>
      </c>
      <c r="DC207" t="str">
        <f>""</f>
        <v/>
      </c>
      <c r="DD207" t="str">
        <f>""</f>
        <v/>
      </c>
      <c r="DE207" t="str">
        <f>""</f>
        <v/>
      </c>
      <c r="DF207" t="str">
        <f>""</f>
        <v/>
      </c>
      <c r="DG207" t="str">
        <f>""</f>
        <v/>
      </c>
      <c r="DH207" t="str">
        <f>""</f>
        <v/>
      </c>
      <c r="DI207" t="str">
        <f>""</f>
        <v/>
      </c>
      <c r="DJ207" t="str">
        <f>""</f>
        <v/>
      </c>
      <c r="DK207" t="str">
        <f>""</f>
        <v/>
      </c>
      <c r="DL207" t="str">
        <f>""</f>
        <v/>
      </c>
      <c r="DM207" t="str">
        <f>""</f>
        <v/>
      </c>
      <c r="DN207" t="str">
        <f>""</f>
        <v/>
      </c>
      <c r="DO207" t="str">
        <f>""</f>
        <v/>
      </c>
      <c r="DP207" t="str">
        <f>""</f>
        <v/>
      </c>
      <c r="DQ207" t="str">
        <f>""</f>
        <v/>
      </c>
      <c r="DR207" t="str">
        <f>""</f>
        <v/>
      </c>
      <c r="DS207" t="str">
        <f>""</f>
        <v/>
      </c>
      <c r="DT207" t="str">
        <f>""</f>
        <v/>
      </c>
      <c r="DU207" t="str">
        <f>""</f>
        <v/>
      </c>
    </row>
    <row r="208" spans="1:125" x14ac:dyDescent="0.25">
      <c r="A208" t="str">
        <f>$A$69</f>
        <v xml:space="preserve">            Citigroup Inc</v>
      </c>
      <c r="B208" t="str">
        <f>$B$69</f>
        <v>C US Equity</v>
      </c>
      <c r="C208" t="str">
        <f>$C$69</f>
        <v>FC070</v>
      </c>
      <c r="D208" t="str">
        <f>$D$69</f>
        <v>FDIC_TRADING_ACCT_ASSETS</v>
      </c>
      <c r="E208" t="str">
        <f>$E$69</f>
        <v>Dynamic</v>
      </c>
      <c r="F208">
        <f ca="1">_xll.BDH($B$69,$C$69,$B$143,$B$144,CONCATENATE("Per=",$B$141),"Dts=H","Dir=H",CONCATENATE("Points=",$B$142),"Sort=R","Days=A","Fill=B",CONCATENATE("FX=", $B$140),"cols=60;rows=1")</f>
        <v>439883</v>
      </c>
      <c r="G208">
        <v>456577</v>
      </c>
      <c r="H208">
        <v>444697</v>
      </c>
      <c r="I208">
        <v>429910</v>
      </c>
      <c r="J208">
        <v>410525</v>
      </c>
      <c r="K208">
        <v>404461</v>
      </c>
      <c r="L208">
        <v>421702</v>
      </c>
      <c r="M208">
        <v>382497</v>
      </c>
      <c r="N208">
        <v>331209</v>
      </c>
      <c r="O208">
        <v>352418</v>
      </c>
      <c r="P208">
        <v>336397</v>
      </c>
      <c r="Q208">
        <v>354132</v>
      </c>
      <c r="R208">
        <v>329257</v>
      </c>
      <c r="S208">
        <v>340462</v>
      </c>
      <c r="T208">
        <v>368730</v>
      </c>
      <c r="U208">
        <v>357771</v>
      </c>
      <c r="V208">
        <v>371872</v>
      </c>
      <c r="W208">
        <v>345971</v>
      </c>
      <c r="X208">
        <v>359301</v>
      </c>
      <c r="Y208">
        <v>360831</v>
      </c>
      <c r="Z208">
        <v>274638</v>
      </c>
      <c r="AA208">
        <v>305078</v>
      </c>
      <c r="AB208">
        <v>305612</v>
      </c>
      <c r="AC208">
        <v>285372</v>
      </c>
      <c r="AD208">
        <v>254760</v>
      </c>
      <c r="AE208">
        <v>256065</v>
      </c>
      <c r="AF208">
        <v>261232</v>
      </c>
      <c r="AG208">
        <v>267678</v>
      </c>
      <c r="AH208">
        <v>251554</v>
      </c>
      <c r="AI208">
        <v>258905</v>
      </c>
      <c r="AJ208">
        <v>259606</v>
      </c>
      <c r="AK208">
        <v>244903</v>
      </c>
      <c r="AL208">
        <v>243925</v>
      </c>
      <c r="AM208">
        <v>263352</v>
      </c>
      <c r="AN208">
        <v>271764</v>
      </c>
      <c r="AO208">
        <v>273747</v>
      </c>
      <c r="AP208">
        <v>249956</v>
      </c>
      <c r="AQ208">
        <v>266946</v>
      </c>
      <c r="AR208">
        <v>279196</v>
      </c>
      <c r="AS208">
        <v>302983</v>
      </c>
      <c r="AT208">
        <v>296786</v>
      </c>
      <c r="AU208">
        <v>290822</v>
      </c>
      <c r="AV208">
        <v>290776</v>
      </c>
      <c r="AW208">
        <v>278180</v>
      </c>
      <c r="AX208">
        <v>285928</v>
      </c>
      <c r="AY208">
        <v>291722</v>
      </c>
      <c r="AZ208">
        <v>306570</v>
      </c>
      <c r="BA208">
        <v>308321</v>
      </c>
      <c r="BB208">
        <v>320929</v>
      </c>
      <c r="BC208">
        <v>315201</v>
      </c>
      <c r="BD208">
        <v>310246</v>
      </c>
      <c r="BE208">
        <v>307050</v>
      </c>
      <c r="BF208">
        <v>291734</v>
      </c>
      <c r="BG208">
        <v>338063</v>
      </c>
      <c r="BH208">
        <v>329011</v>
      </c>
      <c r="BI208">
        <v>329368</v>
      </c>
      <c r="BJ208">
        <v>324797</v>
      </c>
      <c r="BK208">
        <v>349015</v>
      </c>
      <c r="BL208">
        <v>309441</v>
      </c>
      <c r="BM208">
        <v>345393</v>
      </c>
      <c r="BN208" t="str">
        <f>""</f>
        <v/>
      </c>
      <c r="BO208" t="str">
        <f>""</f>
        <v/>
      </c>
      <c r="BP208" t="str">
        <f>""</f>
        <v/>
      </c>
      <c r="BQ208" t="str">
        <f>""</f>
        <v/>
      </c>
      <c r="BR208" t="str">
        <f>""</f>
        <v/>
      </c>
      <c r="BS208" t="str">
        <f>""</f>
        <v/>
      </c>
      <c r="BT208" t="str">
        <f>""</f>
        <v/>
      </c>
      <c r="BU208" t="str">
        <f>""</f>
        <v/>
      </c>
      <c r="BV208" t="str">
        <f>""</f>
        <v/>
      </c>
      <c r="BW208" t="str">
        <f>""</f>
        <v/>
      </c>
      <c r="BX208" t="str">
        <f>""</f>
        <v/>
      </c>
      <c r="BY208" t="str">
        <f>""</f>
        <v/>
      </c>
      <c r="BZ208" t="str">
        <f>""</f>
        <v/>
      </c>
      <c r="CA208" t="str">
        <f>""</f>
        <v/>
      </c>
      <c r="CB208" t="str">
        <f>""</f>
        <v/>
      </c>
      <c r="CC208" t="str">
        <f>""</f>
        <v/>
      </c>
      <c r="CD208" t="str">
        <f>""</f>
        <v/>
      </c>
      <c r="CE208" t="str">
        <f>""</f>
        <v/>
      </c>
      <c r="CF208" t="str">
        <f>""</f>
        <v/>
      </c>
      <c r="CG208" t="str">
        <f>""</f>
        <v/>
      </c>
      <c r="CH208" t="str">
        <f>""</f>
        <v/>
      </c>
      <c r="CI208" t="str">
        <f>""</f>
        <v/>
      </c>
      <c r="CJ208" t="str">
        <f>""</f>
        <v/>
      </c>
      <c r="CK208" t="str">
        <f>""</f>
        <v/>
      </c>
      <c r="CL208" t="str">
        <f>""</f>
        <v/>
      </c>
      <c r="CM208" t="str">
        <f>""</f>
        <v/>
      </c>
      <c r="CN208" t="str">
        <f>""</f>
        <v/>
      </c>
      <c r="CO208" t="str">
        <f>""</f>
        <v/>
      </c>
      <c r="CP208" t="str">
        <f>""</f>
        <v/>
      </c>
      <c r="CQ208" t="str">
        <f>""</f>
        <v/>
      </c>
      <c r="CR208" t="str">
        <f>""</f>
        <v/>
      </c>
      <c r="CS208" t="str">
        <f>""</f>
        <v/>
      </c>
      <c r="CT208" t="str">
        <f>""</f>
        <v/>
      </c>
      <c r="CU208" t="str">
        <f>""</f>
        <v/>
      </c>
      <c r="CV208" t="str">
        <f>""</f>
        <v/>
      </c>
      <c r="CW208" t="str">
        <f>""</f>
        <v/>
      </c>
      <c r="CX208" t="str">
        <f>""</f>
        <v/>
      </c>
      <c r="CY208" t="str">
        <f>""</f>
        <v/>
      </c>
      <c r="CZ208" t="str">
        <f>""</f>
        <v/>
      </c>
      <c r="DA208" t="str">
        <f>""</f>
        <v/>
      </c>
      <c r="DB208" t="str">
        <f>""</f>
        <v/>
      </c>
      <c r="DC208" t="str">
        <f>""</f>
        <v/>
      </c>
      <c r="DD208" t="str">
        <f>""</f>
        <v/>
      </c>
      <c r="DE208" t="str">
        <f>""</f>
        <v/>
      </c>
      <c r="DF208" t="str">
        <f>""</f>
        <v/>
      </c>
      <c r="DG208" t="str">
        <f>""</f>
        <v/>
      </c>
      <c r="DH208" t="str">
        <f>""</f>
        <v/>
      </c>
      <c r="DI208" t="str">
        <f>""</f>
        <v/>
      </c>
      <c r="DJ208" t="str">
        <f>""</f>
        <v/>
      </c>
      <c r="DK208" t="str">
        <f>""</f>
        <v/>
      </c>
      <c r="DL208" t="str">
        <f>""</f>
        <v/>
      </c>
      <c r="DM208" t="str">
        <f>""</f>
        <v/>
      </c>
      <c r="DN208" t="str">
        <f>""</f>
        <v/>
      </c>
      <c r="DO208" t="str">
        <f>""</f>
        <v/>
      </c>
      <c r="DP208" t="str">
        <f>""</f>
        <v/>
      </c>
      <c r="DQ208" t="str">
        <f>""</f>
        <v/>
      </c>
      <c r="DR208" t="str">
        <f>""</f>
        <v/>
      </c>
      <c r="DS208" t="str">
        <f>""</f>
        <v/>
      </c>
      <c r="DT208" t="str">
        <f>""</f>
        <v/>
      </c>
      <c r="DU208" t="str">
        <f>""</f>
        <v/>
      </c>
    </row>
    <row r="209" spans="1:125" x14ac:dyDescent="0.25">
      <c r="A209" t="str">
        <f>$A$70</f>
        <v xml:space="preserve">            Citizens Financial Group Inc</v>
      </c>
      <c r="B209" t="str">
        <f>$B$70</f>
        <v>CFG US Equity</v>
      </c>
      <c r="C209" t="str">
        <f>$C$70</f>
        <v>FC070</v>
      </c>
      <c r="D209" t="str">
        <f>$D$70</f>
        <v>FDIC_TRADING_ACCT_ASSETS</v>
      </c>
      <c r="E209" t="str">
        <f>$E$70</f>
        <v>Dynamic</v>
      </c>
      <c r="F209">
        <f ca="1">_xll.BDH($B$70,$C$70,$B$143,$B$144,CONCATENATE("Per=",$B$141),"Dts=H","Dir=H",CONCATENATE("Points=",$B$142),"Sort=R","Days=A","Fill=B",CONCATENATE("FX=", $B$140),"cols=60;rows=1")</f>
        <v>630.67200000000003</v>
      </c>
      <c r="G209">
        <v>654.52599999999995</v>
      </c>
      <c r="H209">
        <v>463.62700000000001</v>
      </c>
      <c r="I209">
        <v>431.56299999999999</v>
      </c>
      <c r="J209">
        <v>558.78399999999999</v>
      </c>
      <c r="K209">
        <v>598.59199999999998</v>
      </c>
      <c r="L209">
        <v>828.78399999999999</v>
      </c>
      <c r="M209">
        <v>636.20000000000005</v>
      </c>
      <c r="N209">
        <v>1008.9349999999999</v>
      </c>
      <c r="O209">
        <v>1529.7650000000001</v>
      </c>
      <c r="P209">
        <v>1658.1389999999999</v>
      </c>
      <c r="Q209">
        <v>1925.204</v>
      </c>
      <c r="R209">
        <v>1409.105</v>
      </c>
      <c r="S209">
        <v>1902.615</v>
      </c>
      <c r="T209">
        <v>1844.222</v>
      </c>
      <c r="U209">
        <v>1500.1420000000001</v>
      </c>
      <c r="V209">
        <v>1983.847</v>
      </c>
      <c r="W209">
        <v>2126.527</v>
      </c>
      <c r="X209">
        <v>2278.3879999999999</v>
      </c>
      <c r="Y209">
        <v>2078.8130000000001</v>
      </c>
      <c r="Z209">
        <v>969.79200000000003</v>
      </c>
      <c r="AA209">
        <v>1170.1990000000001</v>
      </c>
      <c r="AB209">
        <v>941.08100000000002</v>
      </c>
      <c r="AC209">
        <v>626.99800000000005</v>
      </c>
      <c r="AD209">
        <v>544.75199999999995</v>
      </c>
      <c r="AE209">
        <v>310.84199999999998</v>
      </c>
      <c r="AF209">
        <v>373.13299999999998</v>
      </c>
      <c r="AG209">
        <v>455.18599999999998</v>
      </c>
      <c r="AH209">
        <v>781.58399999999995</v>
      </c>
      <c r="AI209">
        <v>732.803</v>
      </c>
      <c r="AJ209">
        <v>529.94200000000001</v>
      </c>
      <c r="AK209">
        <v>428.13099999999997</v>
      </c>
      <c r="AL209">
        <v>641.02200000000005</v>
      </c>
      <c r="AM209">
        <v>814.08900000000006</v>
      </c>
      <c r="AN209">
        <v>937.86400000000003</v>
      </c>
      <c r="AO209">
        <v>850.82899999999995</v>
      </c>
      <c r="AP209">
        <v>607.36699999999996</v>
      </c>
      <c r="AQ209">
        <v>791.81700000000001</v>
      </c>
      <c r="AR209">
        <v>660.91399999999999</v>
      </c>
      <c r="AS209">
        <v>773.94299999999998</v>
      </c>
      <c r="AT209">
        <v>663.95899999999995</v>
      </c>
      <c r="AU209">
        <v>557.72199999999998</v>
      </c>
      <c r="AV209">
        <v>627.36800000000005</v>
      </c>
      <c r="AW209">
        <v>620.85900000000004</v>
      </c>
      <c r="AX209">
        <v>643.03499999999997</v>
      </c>
      <c r="AY209">
        <v>731.19299999999998</v>
      </c>
      <c r="AZ209">
        <v>759.94299999999998</v>
      </c>
      <c r="BA209">
        <v>997.90800000000002</v>
      </c>
      <c r="BB209">
        <v>1120.0329999999999</v>
      </c>
      <c r="BC209">
        <v>1219.9570000000001</v>
      </c>
      <c r="BD209">
        <v>1234.3689999999999</v>
      </c>
      <c r="BE209">
        <v>1160.173</v>
      </c>
      <c r="BF209">
        <v>1260.1590000000001</v>
      </c>
      <c r="BG209">
        <v>1300.7639999999999</v>
      </c>
      <c r="BH209">
        <v>1026.951</v>
      </c>
      <c r="BI209">
        <v>947.00800000000004</v>
      </c>
      <c r="BJ209">
        <v>1069.115</v>
      </c>
      <c r="BK209">
        <v>1486.31</v>
      </c>
      <c r="BL209">
        <v>1340.3440000000001</v>
      </c>
      <c r="BM209">
        <v>1088.69</v>
      </c>
      <c r="BN209" t="str">
        <f>""</f>
        <v/>
      </c>
      <c r="BO209" t="str">
        <f>""</f>
        <v/>
      </c>
      <c r="BP209" t="str">
        <f>""</f>
        <v/>
      </c>
      <c r="BQ209" t="str">
        <f>""</f>
        <v/>
      </c>
      <c r="BR209" t="str">
        <f>""</f>
        <v/>
      </c>
      <c r="BS209" t="str">
        <f>""</f>
        <v/>
      </c>
      <c r="BT209" t="str">
        <f>""</f>
        <v/>
      </c>
      <c r="BU209" t="str">
        <f>""</f>
        <v/>
      </c>
      <c r="BV209" t="str">
        <f>""</f>
        <v/>
      </c>
      <c r="BW209" t="str">
        <f>""</f>
        <v/>
      </c>
      <c r="BX209" t="str">
        <f>""</f>
        <v/>
      </c>
      <c r="BY209" t="str">
        <f>""</f>
        <v/>
      </c>
      <c r="BZ209" t="str">
        <f>""</f>
        <v/>
      </c>
      <c r="CA209" t="str">
        <f>""</f>
        <v/>
      </c>
      <c r="CB209" t="str">
        <f>""</f>
        <v/>
      </c>
      <c r="CC209" t="str">
        <f>""</f>
        <v/>
      </c>
      <c r="CD209" t="str">
        <f>""</f>
        <v/>
      </c>
      <c r="CE209" t="str">
        <f>""</f>
        <v/>
      </c>
      <c r="CF209" t="str">
        <f>""</f>
        <v/>
      </c>
      <c r="CG209" t="str">
        <f>""</f>
        <v/>
      </c>
      <c r="CH209" t="str">
        <f>""</f>
        <v/>
      </c>
      <c r="CI209" t="str">
        <f>""</f>
        <v/>
      </c>
      <c r="CJ209" t="str">
        <f>""</f>
        <v/>
      </c>
      <c r="CK209" t="str">
        <f>""</f>
        <v/>
      </c>
      <c r="CL209" t="str">
        <f>""</f>
        <v/>
      </c>
      <c r="CM209" t="str">
        <f>""</f>
        <v/>
      </c>
      <c r="CN209" t="str">
        <f>""</f>
        <v/>
      </c>
      <c r="CO209" t="str">
        <f>""</f>
        <v/>
      </c>
      <c r="CP209" t="str">
        <f>""</f>
        <v/>
      </c>
      <c r="CQ209" t="str">
        <f>""</f>
        <v/>
      </c>
      <c r="CR209" t="str">
        <f>""</f>
        <v/>
      </c>
      <c r="CS209" t="str">
        <f>""</f>
        <v/>
      </c>
      <c r="CT209" t="str">
        <f>""</f>
        <v/>
      </c>
      <c r="CU209" t="str">
        <f>""</f>
        <v/>
      </c>
      <c r="CV209" t="str">
        <f>""</f>
        <v/>
      </c>
      <c r="CW209" t="str">
        <f>""</f>
        <v/>
      </c>
      <c r="CX209" t="str">
        <f>""</f>
        <v/>
      </c>
      <c r="CY209" t="str">
        <f>""</f>
        <v/>
      </c>
      <c r="CZ209" t="str">
        <f>""</f>
        <v/>
      </c>
      <c r="DA209" t="str">
        <f>""</f>
        <v/>
      </c>
      <c r="DB209" t="str">
        <f>""</f>
        <v/>
      </c>
      <c r="DC209" t="str">
        <f>""</f>
        <v/>
      </c>
      <c r="DD209" t="str">
        <f>""</f>
        <v/>
      </c>
      <c r="DE209" t="str">
        <f>""</f>
        <v/>
      </c>
      <c r="DF209" t="str">
        <f>""</f>
        <v/>
      </c>
      <c r="DG209" t="str">
        <f>""</f>
        <v/>
      </c>
      <c r="DH209" t="str">
        <f>""</f>
        <v/>
      </c>
      <c r="DI209" t="str">
        <f>""</f>
        <v/>
      </c>
      <c r="DJ209" t="str">
        <f>""</f>
        <v/>
      </c>
      <c r="DK209" t="str">
        <f>""</f>
        <v/>
      </c>
      <c r="DL209" t="str">
        <f>""</f>
        <v/>
      </c>
      <c r="DM209" t="str">
        <f>""</f>
        <v/>
      </c>
      <c r="DN209" t="str">
        <f>""</f>
        <v/>
      </c>
      <c r="DO209" t="str">
        <f>""</f>
        <v/>
      </c>
      <c r="DP209" t="str">
        <f>""</f>
        <v/>
      </c>
      <c r="DQ209" t="str">
        <f>""</f>
        <v/>
      </c>
      <c r="DR209" t="str">
        <f>""</f>
        <v/>
      </c>
      <c r="DS209" t="str">
        <f>""</f>
        <v/>
      </c>
      <c r="DT209" t="str">
        <f>""</f>
        <v/>
      </c>
      <c r="DU209" t="str">
        <f>""</f>
        <v/>
      </c>
    </row>
    <row r="210" spans="1:125" x14ac:dyDescent="0.25">
      <c r="A210" t="str">
        <f>$A$71</f>
        <v xml:space="preserve">            Capital One Financial Corp</v>
      </c>
      <c r="B210" t="str">
        <f>$B$71</f>
        <v>COF US Equity</v>
      </c>
      <c r="C210" t="str">
        <f>$C$71</f>
        <v>FC070</v>
      </c>
      <c r="D210" t="str">
        <f>$D$71</f>
        <v>FDIC_TRADING_ACCT_ASSETS</v>
      </c>
      <c r="E210" t="str">
        <f>$E$71</f>
        <v>Dynamic</v>
      </c>
      <c r="F210">
        <f ca="1">_xll.BDH($B$71,$C$71,$B$143,$B$144,CONCATENATE("Per=",$B$141),"Dts=H","Dir=H",CONCATENATE("Points=",$B$142),"Sort=R","Days=A","Fill=B",CONCATENATE("FX=", $B$140),"cols=60;rows=1")</f>
        <v>1203.1669999999999</v>
      </c>
      <c r="G210">
        <v>1661.548</v>
      </c>
      <c r="H210">
        <v>1371.3689999999999</v>
      </c>
      <c r="I210">
        <v>1536.1279999999999</v>
      </c>
      <c r="J210">
        <v>1522.2529999999999</v>
      </c>
      <c r="K210">
        <v>1796.819</v>
      </c>
      <c r="L210">
        <v>1581.172</v>
      </c>
      <c r="M210">
        <v>1492.9580000000001</v>
      </c>
      <c r="N210">
        <v>2187.788</v>
      </c>
      <c r="O210">
        <v>3110.4989999999998</v>
      </c>
      <c r="P210">
        <v>3139.203</v>
      </c>
      <c r="Q210">
        <v>3716.951</v>
      </c>
      <c r="R210">
        <v>2128.335</v>
      </c>
      <c r="S210">
        <v>3801.136</v>
      </c>
      <c r="T210">
        <v>2659.2379999999998</v>
      </c>
      <c r="U210">
        <v>1925.6759999999999</v>
      </c>
      <c r="V210">
        <v>2127.8000000000002</v>
      </c>
      <c r="W210">
        <v>2317.5010000000002</v>
      </c>
      <c r="X210">
        <v>2438.223</v>
      </c>
      <c r="Y210">
        <v>2878.268</v>
      </c>
      <c r="Z210">
        <v>1067.0730000000001</v>
      </c>
      <c r="AA210">
        <v>1183.482</v>
      </c>
      <c r="AB210">
        <v>1064.7190000000001</v>
      </c>
      <c r="AC210">
        <v>792.74300000000005</v>
      </c>
      <c r="AD210">
        <v>491.66800000000001</v>
      </c>
      <c r="AE210">
        <v>1200.0350000000001</v>
      </c>
      <c r="AF210">
        <v>1088.673</v>
      </c>
      <c r="AG210">
        <v>781.96</v>
      </c>
      <c r="AH210">
        <v>866.23699999999997</v>
      </c>
      <c r="AI210">
        <v>659.73500000000001</v>
      </c>
      <c r="AJ210">
        <v>574.14499999999998</v>
      </c>
      <c r="AK210">
        <v>659.029</v>
      </c>
      <c r="AL210">
        <v>755.851</v>
      </c>
      <c r="AM210">
        <v>812.28200000000004</v>
      </c>
      <c r="AN210">
        <v>898.33100000000002</v>
      </c>
      <c r="AO210">
        <v>761.53399999999999</v>
      </c>
      <c r="AP210">
        <v>547.55100000000004</v>
      </c>
      <c r="AQ210">
        <v>603.75699999999995</v>
      </c>
      <c r="AR210">
        <v>505.714</v>
      </c>
      <c r="AS210">
        <v>666.75900000000001</v>
      </c>
      <c r="AT210">
        <v>594.61800000000005</v>
      </c>
      <c r="AU210">
        <v>537.02200000000005</v>
      </c>
      <c r="AV210">
        <v>560.81299999999999</v>
      </c>
      <c r="AW210">
        <v>557.29499999999996</v>
      </c>
      <c r="AX210">
        <v>601.16</v>
      </c>
      <c r="AY210">
        <v>594.53</v>
      </c>
      <c r="AZ210">
        <v>597.76900000000001</v>
      </c>
      <c r="BA210">
        <v>639.64800000000002</v>
      </c>
      <c r="BB210">
        <v>684.89499999999998</v>
      </c>
      <c r="BC210">
        <v>734.75</v>
      </c>
      <c r="BD210">
        <v>640.25099999999998</v>
      </c>
      <c r="BE210">
        <v>555.95100000000002</v>
      </c>
      <c r="BF210">
        <v>584.41300000000001</v>
      </c>
      <c r="BG210">
        <v>580.97799999999995</v>
      </c>
      <c r="BH210">
        <v>434.53500000000003</v>
      </c>
      <c r="BI210">
        <v>412.58100000000002</v>
      </c>
      <c r="BJ210">
        <v>426.74200000000002</v>
      </c>
      <c r="BK210">
        <v>518.44600000000003</v>
      </c>
      <c r="BL210">
        <v>469.92</v>
      </c>
      <c r="BM210">
        <v>384.77</v>
      </c>
      <c r="BN210" t="str">
        <f>""</f>
        <v/>
      </c>
      <c r="BO210" t="str">
        <f>""</f>
        <v/>
      </c>
      <c r="BP210" t="str">
        <f>""</f>
        <v/>
      </c>
      <c r="BQ210" t="str">
        <f>""</f>
        <v/>
      </c>
      <c r="BR210" t="str">
        <f>""</f>
        <v/>
      </c>
      <c r="BS210" t="str">
        <f>""</f>
        <v/>
      </c>
      <c r="BT210" t="str">
        <f>""</f>
        <v/>
      </c>
      <c r="BU210" t="str">
        <f>""</f>
        <v/>
      </c>
      <c r="BV210" t="str">
        <f>""</f>
        <v/>
      </c>
      <c r="BW210" t="str">
        <f>""</f>
        <v/>
      </c>
      <c r="BX210" t="str">
        <f>""</f>
        <v/>
      </c>
      <c r="BY210" t="str">
        <f>""</f>
        <v/>
      </c>
      <c r="BZ210" t="str">
        <f>""</f>
        <v/>
      </c>
      <c r="CA210" t="str">
        <f>""</f>
        <v/>
      </c>
      <c r="CB210" t="str">
        <f>""</f>
        <v/>
      </c>
      <c r="CC210" t="str">
        <f>""</f>
        <v/>
      </c>
      <c r="CD210" t="str">
        <f>""</f>
        <v/>
      </c>
      <c r="CE210" t="str">
        <f>""</f>
        <v/>
      </c>
      <c r="CF210" t="str">
        <f>""</f>
        <v/>
      </c>
      <c r="CG210" t="str">
        <f>""</f>
        <v/>
      </c>
      <c r="CH210" t="str">
        <f>""</f>
        <v/>
      </c>
      <c r="CI210" t="str">
        <f>""</f>
        <v/>
      </c>
      <c r="CJ210" t="str">
        <f>""</f>
        <v/>
      </c>
      <c r="CK210" t="str">
        <f>""</f>
        <v/>
      </c>
      <c r="CL210" t="str">
        <f>""</f>
        <v/>
      </c>
      <c r="CM210" t="str">
        <f>""</f>
        <v/>
      </c>
      <c r="CN210" t="str">
        <f>""</f>
        <v/>
      </c>
      <c r="CO210" t="str">
        <f>""</f>
        <v/>
      </c>
      <c r="CP210" t="str">
        <f>""</f>
        <v/>
      </c>
      <c r="CQ210" t="str">
        <f>""</f>
        <v/>
      </c>
      <c r="CR210" t="str">
        <f>""</f>
        <v/>
      </c>
      <c r="CS210" t="str">
        <f>""</f>
        <v/>
      </c>
      <c r="CT210" t="str">
        <f>""</f>
        <v/>
      </c>
      <c r="CU210" t="str">
        <f>""</f>
        <v/>
      </c>
      <c r="CV210" t="str">
        <f>""</f>
        <v/>
      </c>
      <c r="CW210" t="str">
        <f>""</f>
        <v/>
      </c>
      <c r="CX210" t="str">
        <f>""</f>
        <v/>
      </c>
      <c r="CY210" t="str">
        <f>""</f>
        <v/>
      </c>
      <c r="CZ210" t="str">
        <f>""</f>
        <v/>
      </c>
      <c r="DA210" t="str">
        <f>""</f>
        <v/>
      </c>
      <c r="DB210" t="str">
        <f>""</f>
        <v/>
      </c>
      <c r="DC210" t="str">
        <f>""</f>
        <v/>
      </c>
      <c r="DD210" t="str">
        <f>""</f>
        <v/>
      </c>
      <c r="DE210" t="str">
        <f>""</f>
        <v/>
      </c>
      <c r="DF210" t="str">
        <f>""</f>
        <v/>
      </c>
      <c r="DG210" t="str">
        <f>""</f>
        <v/>
      </c>
      <c r="DH210" t="str">
        <f>""</f>
        <v/>
      </c>
      <c r="DI210" t="str">
        <f>""</f>
        <v/>
      </c>
      <c r="DJ210" t="str">
        <f>""</f>
        <v/>
      </c>
      <c r="DK210" t="str">
        <f>""</f>
        <v/>
      </c>
      <c r="DL210" t="str">
        <f>""</f>
        <v/>
      </c>
      <c r="DM210" t="str">
        <f>""</f>
        <v/>
      </c>
      <c r="DN210" t="str">
        <f>""</f>
        <v/>
      </c>
      <c r="DO210" t="str">
        <f>""</f>
        <v/>
      </c>
      <c r="DP210" t="str">
        <f>""</f>
        <v/>
      </c>
      <c r="DQ210" t="str">
        <f>""</f>
        <v/>
      </c>
      <c r="DR210" t="str">
        <f>""</f>
        <v/>
      </c>
      <c r="DS210" t="str">
        <f>""</f>
        <v/>
      </c>
      <c r="DT210" t="str">
        <f>""</f>
        <v/>
      </c>
      <c r="DU210" t="str">
        <f>""</f>
        <v/>
      </c>
    </row>
    <row r="211" spans="1:125" x14ac:dyDescent="0.25">
      <c r="A211" t="str">
        <f>$A$72</f>
        <v xml:space="preserve">            Comerica Inc</v>
      </c>
      <c r="B211" t="str">
        <f>$B$72</f>
        <v>CMA US Equity</v>
      </c>
      <c r="C211" t="str">
        <f>$C$72</f>
        <v>FC070</v>
      </c>
      <c r="D211" t="str">
        <f>$D$72</f>
        <v>FDIC_TRADING_ACCT_ASSETS</v>
      </c>
      <c r="E211" t="str">
        <f>$E$72</f>
        <v>Dynamic</v>
      </c>
      <c r="F211">
        <f ca="1">_xll.BDH($B$72,$C$72,$B$143,$B$144,CONCATENATE("Per=",$B$141),"Dts=H","Dir=H",CONCATENATE("Points=",$B$142),"Sort=R","Days=A","Fill=B",CONCATENATE("FX=", $B$140),"cols=60;rows=1")</f>
        <v>342</v>
      </c>
      <c r="G211">
        <v>544</v>
      </c>
      <c r="H211">
        <v>542</v>
      </c>
      <c r="I211">
        <v>648</v>
      </c>
      <c r="J211">
        <v>668</v>
      </c>
      <c r="K211">
        <v>672</v>
      </c>
      <c r="L211">
        <v>577</v>
      </c>
      <c r="M211">
        <v>459</v>
      </c>
      <c r="N211">
        <v>545</v>
      </c>
      <c r="O211">
        <v>730</v>
      </c>
      <c r="P211">
        <v>1379</v>
      </c>
      <c r="Q211">
        <v>1615</v>
      </c>
      <c r="R211">
        <v>859</v>
      </c>
      <c r="S211">
        <v>1144</v>
      </c>
      <c r="T211">
        <v>1009</v>
      </c>
      <c r="U211">
        <v>671</v>
      </c>
      <c r="V211">
        <v>713</v>
      </c>
      <c r="W211">
        <v>740</v>
      </c>
      <c r="X211">
        <v>769</v>
      </c>
      <c r="Y211">
        <v>712</v>
      </c>
      <c r="Z211">
        <v>342</v>
      </c>
      <c r="AA211">
        <v>395</v>
      </c>
      <c r="AB211">
        <v>328</v>
      </c>
      <c r="AC211">
        <v>230</v>
      </c>
      <c r="AD211">
        <v>144.02799999999999</v>
      </c>
      <c r="AE211">
        <v>312.60000000000002</v>
      </c>
      <c r="AF211">
        <v>286.42500000000001</v>
      </c>
      <c r="AG211">
        <v>215.94300000000001</v>
      </c>
      <c r="AH211">
        <v>233.88</v>
      </c>
      <c r="AI211">
        <v>208.904</v>
      </c>
      <c r="AJ211">
        <v>201.613</v>
      </c>
      <c r="AK211">
        <v>189.33799999999999</v>
      </c>
      <c r="AL211">
        <v>287.63799999999998</v>
      </c>
      <c r="AM211">
        <v>373.06900000000002</v>
      </c>
      <c r="AN211">
        <v>432.83199999999999</v>
      </c>
      <c r="AO211">
        <v>421.33499999999998</v>
      </c>
      <c r="AP211">
        <v>393.09</v>
      </c>
      <c r="AQ211">
        <v>450.488</v>
      </c>
      <c r="AR211">
        <v>361.25</v>
      </c>
      <c r="AS211">
        <v>490.18900000000002</v>
      </c>
      <c r="AT211">
        <v>495.15499999999997</v>
      </c>
      <c r="AU211">
        <v>305.21699999999998</v>
      </c>
      <c r="AV211">
        <v>384.79</v>
      </c>
      <c r="AW211">
        <v>320.08699999999999</v>
      </c>
      <c r="AX211">
        <v>329.14400000000001</v>
      </c>
      <c r="AY211">
        <v>318.738</v>
      </c>
      <c r="AZ211">
        <v>360.892</v>
      </c>
      <c r="BA211">
        <v>400.33699999999999</v>
      </c>
      <c r="BB211">
        <v>568.19100000000003</v>
      </c>
      <c r="BC211">
        <v>599.79600000000005</v>
      </c>
      <c r="BD211">
        <v>640.90599999999995</v>
      </c>
      <c r="BE211">
        <v>596.61900000000003</v>
      </c>
      <c r="BF211">
        <v>553.88499999999999</v>
      </c>
      <c r="BG211">
        <v>587.27499999999998</v>
      </c>
      <c r="BH211">
        <v>501.255</v>
      </c>
      <c r="BI211">
        <v>581.57000000000005</v>
      </c>
      <c r="BJ211">
        <v>546.072</v>
      </c>
      <c r="BK211">
        <v>580.42700000000002</v>
      </c>
      <c r="BL211">
        <v>562.899</v>
      </c>
      <c r="BM211">
        <v>579.69200000000001</v>
      </c>
      <c r="BN211" t="str">
        <f>""</f>
        <v/>
      </c>
      <c r="BO211" t="str">
        <f>""</f>
        <v/>
      </c>
      <c r="BP211" t="str">
        <f>""</f>
        <v/>
      </c>
      <c r="BQ211" t="str">
        <f>""</f>
        <v/>
      </c>
      <c r="BR211" t="str">
        <f>""</f>
        <v/>
      </c>
      <c r="BS211" t="str">
        <f>""</f>
        <v/>
      </c>
      <c r="BT211" t="str">
        <f>""</f>
        <v/>
      </c>
      <c r="BU211" t="str">
        <f>""</f>
        <v/>
      </c>
      <c r="BV211" t="str">
        <f>""</f>
        <v/>
      </c>
      <c r="BW211" t="str">
        <f>""</f>
        <v/>
      </c>
      <c r="BX211" t="str">
        <f>""</f>
        <v/>
      </c>
      <c r="BY211" t="str">
        <f>""</f>
        <v/>
      </c>
      <c r="BZ211" t="str">
        <f>""</f>
        <v/>
      </c>
      <c r="CA211" t="str">
        <f>""</f>
        <v/>
      </c>
      <c r="CB211" t="str">
        <f>""</f>
        <v/>
      </c>
      <c r="CC211" t="str">
        <f>""</f>
        <v/>
      </c>
      <c r="CD211" t="str">
        <f>""</f>
        <v/>
      </c>
      <c r="CE211" t="str">
        <f>""</f>
        <v/>
      </c>
      <c r="CF211" t="str">
        <f>""</f>
        <v/>
      </c>
      <c r="CG211" t="str">
        <f>""</f>
        <v/>
      </c>
      <c r="CH211" t="str">
        <f>""</f>
        <v/>
      </c>
      <c r="CI211" t="str">
        <f>""</f>
        <v/>
      </c>
      <c r="CJ211" t="str">
        <f>""</f>
        <v/>
      </c>
      <c r="CK211" t="str">
        <f>""</f>
        <v/>
      </c>
      <c r="CL211" t="str">
        <f>""</f>
        <v/>
      </c>
      <c r="CM211" t="str">
        <f>""</f>
        <v/>
      </c>
      <c r="CN211" t="str">
        <f>""</f>
        <v/>
      </c>
      <c r="CO211" t="str">
        <f>""</f>
        <v/>
      </c>
      <c r="CP211" t="str">
        <f>""</f>
        <v/>
      </c>
      <c r="CQ211" t="str">
        <f>""</f>
        <v/>
      </c>
      <c r="CR211" t="str">
        <f>""</f>
        <v/>
      </c>
      <c r="CS211" t="str">
        <f>""</f>
        <v/>
      </c>
      <c r="CT211" t="str">
        <f>""</f>
        <v/>
      </c>
      <c r="CU211" t="str">
        <f>""</f>
        <v/>
      </c>
      <c r="CV211" t="str">
        <f>""</f>
        <v/>
      </c>
      <c r="CW211" t="str">
        <f>""</f>
        <v/>
      </c>
      <c r="CX211" t="str">
        <f>""</f>
        <v/>
      </c>
      <c r="CY211" t="str">
        <f>""</f>
        <v/>
      </c>
      <c r="CZ211" t="str">
        <f>""</f>
        <v/>
      </c>
      <c r="DA211" t="str">
        <f>""</f>
        <v/>
      </c>
      <c r="DB211" t="str">
        <f>""</f>
        <v/>
      </c>
      <c r="DC211" t="str">
        <f>""</f>
        <v/>
      </c>
      <c r="DD211" t="str">
        <f>""</f>
        <v/>
      </c>
      <c r="DE211" t="str">
        <f>""</f>
        <v/>
      </c>
      <c r="DF211" t="str">
        <f>""</f>
        <v/>
      </c>
      <c r="DG211" t="str">
        <f>""</f>
        <v/>
      </c>
      <c r="DH211" t="str">
        <f>""</f>
        <v/>
      </c>
      <c r="DI211" t="str">
        <f>""</f>
        <v/>
      </c>
      <c r="DJ211" t="str">
        <f>""</f>
        <v/>
      </c>
      <c r="DK211" t="str">
        <f>""</f>
        <v/>
      </c>
      <c r="DL211" t="str">
        <f>""</f>
        <v/>
      </c>
      <c r="DM211" t="str">
        <f>""</f>
        <v/>
      </c>
      <c r="DN211" t="str">
        <f>""</f>
        <v/>
      </c>
      <c r="DO211" t="str">
        <f>""</f>
        <v/>
      </c>
      <c r="DP211" t="str">
        <f>""</f>
        <v/>
      </c>
      <c r="DQ211" t="str">
        <f>""</f>
        <v/>
      </c>
      <c r="DR211" t="str">
        <f>""</f>
        <v/>
      </c>
      <c r="DS211" t="str">
        <f>""</f>
        <v/>
      </c>
      <c r="DT211" t="str">
        <f>""</f>
        <v/>
      </c>
      <c r="DU211" t="str">
        <f>""</f>
        <v/>
      </c>
    </row>
    <row r="212" spans="1:125" x14ac:dyDescent="0.25">
      <c r="A212" t="str">
        <f>$A$73</f>
        <v xml:space="preserve">            East West Bancorp Inc</v>
      </c>
      <c r="B212" t="str">
        <f>$B$73</f>
        <v>EWBC US Equity</v>
      </c>
      <c r="C212" t="str">
        <f>$C$73</f>
        <v>FC070</v>
      </c>
      <c r="D212" t="str">
        <f>$D$73</f>
        <v>FDIC_TRADING_ACCT_ASSETS</v>
      </c>
      <c r="E212" t="str">
        <f>$E$73</f>
        <v>Dynamic</v>
      </c>
      <c r="F212">
        <f ca="1">_xll.BDH($B$73,$C$73,$B$143,$B$144,CONCATENATE("Per=",$B$141),"Dts=H","Dir=H",CONCATENATE("Points=",$B$142),"Sort=R","Days=A","Fill=B",CONCATENATE("FX=", $B$140),"cols=60;rows=1")</f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 t="str">
        <f>""</f>
        <v/>
      </c>
      <c r="BO212" t="str">
        <f>""</f>
        <v/>
      </c>
      <c r="BP212" t="str">
        <f>""</f>
        <v/>
      </c>
      <c r="BQ212" t="str">
        <f>""</f>
        <v/>
      </c>
      <c r="BR212" t="str">
        <f>""</f>
        <v/>
      </c>
      <c r="BS212" t="str">
        <f>""</f>
        <v/>
      </c>
      <c r="BT212" t="str">
        <f>""</f>
        <v/>
      </c>
      <c r="BU212" t="str">
        <f>""</f>
        <v/>
      </c>
      <c r="BV212" t="str">
        <f>""</f>
        <v/>
      </c>
      <c r="BW212" t="str">
        <f>""</f>
        <v/>
      </c>
      <c r="BX212" t="str">
        <f>""</f>
        <v/>
      </c>
      <c r="BY212" t="str">
        <f>""</f>
        <v/>
      </c>
      <c r="BZ212" t="str">
        <f>""</f>
        <v/>
      </c>
      <c r="CA212" t="str">
        <f>""</f>
        <v/>
      </c>
      <c r="CB212" t="str">
        <f>""</f>
        <v/>
      </c>
      <c r="CC212" t="str">
        <f>""</f>
        <v/>
      </c>
      <c r="CD212" t="str">
        <f>""</f>
        <v/>
      </c>
      <c r="CE212" t="str">
        <f>""</f>
        <v/>
      </c>
      <c r="CF212" t="str">
        <f>""</f>
        <v/>
      </c>
      <c r="CG212" t="str">
        <f>""</f>
        <v/>
      </c>
      <c r="CH212" t="str">
        <f>""</f>
        <v/>
      </c>
      <c r="CI212" t="str">
        <f>""</f>
        <v/>
      </c>
      <c r="CJ212" t="str">
        <f>""</f>
        <v/>
      </c>
      <c r="CK212" t="str">
        <f>""</f>
        <v/>
      </c>
      <c r="CL212" t="str">
        <f>""</f>
        <v/>
      </c>
      <c r="CM212" t="str">
        <f>""</f>
        <v/>
      </c>
      <c r="CN212" t="str">
        <f>""</f>
        <v/>
      </c>
      <c r="CO212" t="str">
        <f>""</f>
        <v/>
      </c>
      <c r="CP212" t="str">
        <f>""</f>
        <v/>
      </c>
      <c r="CQ212" t="str">
        <f>""</f>
        <v/>
      </c>
      <c r="CR212" t="str">
        <f>""</f>
        <v/>
      </c>
      <c r="CS212" t="str">
        <f>""</f>
        <v/>
      </c>
      <c r="CT212" t="str">
        <f>""</f>
        <v/>
      </c>
      <c r="CU212" t="str">
        <f>""</f>
        <v/>
      </c>
      <c r="CV212" t="str">
        <f>""</f>
        <v/>
      </c>
      <c r="CW212" t="str">
        <f>""</f>
        <v/>
      </c>
      <c r="CX212" t="str">
        <f>""</f>
        <v/>
      </c>
      <c r="CY212" t="str">
        <f>""</f>
        <v/>
      </c>
      <c r="CZ212" t="str">
        <f>""</f>
        <v/>
      </c>
      <c r="DA212" t="str">
        <f>""</f>
        <v/>
      </c>
      <c r="DB212" t="str">
        <f>""</f>
        <v/>
      </c>
      <c r="DC212" t="str">
        <f>""</f>
        <v/>
      </c>
      <c r="DD212" t="str">
        <f>""</f>
        <v/>
      </c>
      <c r="DE212" t="str">
        <f>""</f>
        <v/>
      </c>
      <c r="DF212" t="str">
        <f>""</f>
        <v/>
      </c>
      <c r="DG212" t="str">
        <f>""</f>
        <v/>
      </c>
      <c r="DH212" t="str">
        <f>""</f>
        <v/>
      </c>
      <c r="DI212" t="str">
        <f>""</f>
        <v/>
      </c>
      <c r="DJ212" t="str">
        <f>""</f>
        <v/>
      </c>
      <c r="DK212" t="str">
        <f>""</f>
        <v/>
      </c>
      <c r="DL212" t="str">
        <f>""</f>
        <v/>
      </c>
      <c r="DM212" t="str">
        <f>""</f>
        <v/>
      </c>
      <c r="DN212" t="str">
        <f>""</f>
        <v/>
      </c>
      <c r="DO212" t="str">
        <f>""</f>
        <v/>
      </c>
      <c r="DP212" t="str">
        <f>""</f>
        <v/>
      </c>
      <c r="DQ212" t="str">
        <f>""</f>
        <v/>
      </c>
      <c r="DR212" t="str">
        <f>""</f>
        <v/>
      </c>
      <c r="DS212" t="str">
        <f>""</f>
        <v/>
      </c>
      <c r="DT212" t="str">
        <f>""</f>
        <v/>
      </c>
      <c r="DU212" t="str">
        <f>""</f>
        <v/>
      </c>
    </row>
    <row r="213" spans="1:125" x14ac:dyDescent="0.25">
      <c r="A213" t="str">
        <f>$A$74</f>
        <v xml:space="preserve">            Fifth Third Bancorp</v>
      </c>
      <c r="B213" t="str">
        <f>$B$74</f>
        <v>FITB US Equity</v>
      </c>
      <c r="C213" t="str">
        <f>$C$74</f>
        <v>FC070</v>
      </c>
      <c r="D213" t="str">
        <f>$D$74</f>
        <v>FDIC_TRADING_ACCT_ASSETS</v>
      </c>
      <c r="E213" t="str">
        <f>$E$74</f>
        <v>Dynamic</v>
      </c>
      <c r="F213">
        <f ca="1">_xll.BDH($B$74,$C$74,$B$143,$B$144,CONCATENATE("Per=",$B$141),"Dts=H","Dir=H",CONCATENATE("Points=",$B$142),"Sort=R","Days=A","Fill=B",CONCATENATE("FX=", $B$140),"cols=60;rows=1")</f>
        <v>3926</v>
      </c>
      <c r="G213">
        <v>3638</v>
      </c>
      <c r="H213">
        <v>4398</v>
      </c>
      <c r="I213">
        <v>4234</v>
      </c>
      <c r="J213">
        <v>4061</v>
      </c>
      <c r="K213">
        <v>4657</v>
      </c>
      <c r="L213">
        <v>4298</v>
      </c>
      <c r="M213">
        <v>3964</v>
      </c>
      <c r="N213">
        <v>3572.4949999999999</v>
      </c>
      <c r="O213">
        <v>4702.4049999999997</v>
      </c>
      <c r="P213">
        <v>4366.3890000000001</v>
      </c>
      <c r="Q213">
        <v>4437.9480000000003</v>
      </c>
      <c r="R213">
        <v>3016.2</v>
      </c>
      <c r="S213">
        <v>4132.8180000000002</v>
      </c>
      <c r="T213">
        <v>3406.098</v>
      </c>
      <c r="U213">
        <v>2695.3009999999999</v>
      </c>
      <c r="V213">
        <v>2700.4369999999999</v>
      </c>
      <c r="W213">
        <v>3029.2950000000001</v>
      </c>
      <c r="X213">
        <v>3118.5439999999999</v>
      </c>
      <c r="Y213">
        <v>3725.8040000000001</v>
      </c>
      <c r="Z213">
        <v>1807.34</v>
      </c>
      <c r="AA213">
        <v>1970.001</v>
      </c>
      <c r="AB213">
        <v>1769.8920000000001</v>
      </c>
      <c r="AC213">
        <v>1353.6679999999999</v>
      </c>
      <c r="AD213">
        <v>1385.098</v>
      </c>
      <c r="AE213">
        <v>1390.6110000000001</v>
      </c>
      <c r="AF213">
        <v>1307.8230000000001</v>
      </c>
      <c r="AG213">
        <v>1502.4870000000001</v>
      </c>
      <c r="AH213">
        <v>1312.3340000000001</v>
      </c>
      <c r="AI213">
        <v>1233.627</v>
      </c>
      <c r="AJ213">
        <v>1243.751</v>
      </c>
      <c r="AK213">
        <v>1100.202</v>
      </c>
      <c r="AL213">
        <v>936.13199999999995</v>
      </c>
      <c r="AM213">
        <v>1108.4570000000001</v>
      </c>
      <c r="AN213">
        <v>1255.261</v>
      </c>
      <c r="AO213">
        <v>1307.7940000000001</v>
      </c>
      <c r="AP213">
        <v>1323.8140000000001</v>
      </c>
      <c r="AQ213">
        <v>1493.067</v>
      </c>
      <c r="AR213">
        <v>1379.223</v>
      </c>
      <c r="AS213">
        <v>1649.7719999999999</v>
      </c>
      <c r="AT213">
        <v>1407.8420000000001</v>
      </c>
      <c r="AU213">
        <v>1049.819</v>
      </c>
      <c r="AV213">
        <v>953.18799999999999</v>
      </c>
      <c r="AW213">
        <v>938.28499999999997</v>
      </c>
      <c r="AX213">
        <v>1026.2729999999999</v>
      </c>
      <c r="AY213">
        <v>989.755</v>
      </c>
      <c r="AZ213">
        <v>1001.646</v>
      </c>
      <c r="BA213">
        <v>1097.5609999999999</v>
      </c>
      <c r="BB213">
        <v>1140.673</v>
      </c>
      <c r="BC213">
        <v>1262.1079999999999</v>
      </c>
      <c r="BD213">
        <v>1282.5650000000001</v>
      </c>
      <c r="BE213">
        <v>1216.069</v>
      </c>
      <c r="BF213">
        <v>1411.671</v>
      </c>
      <c r="BG213">
        <v>1637.567</v>
      </c>
      <c r="BH213">
        <v>1278.914</v>
      </c>
      <c r="BI213">
        <v>1292.895</v>
      </c>
      <c r="BJ213">
        <v>1446.9179999999999</v>
      </c>
      <c r="BK213">
        <v>1650.2439999999999</v>
      </c>
      <c r="BL213">
        <v>1508.537</v>
      </c>
      <c r="BM213">
        <v>1378.489</v>
      </c>
      <c r="BN213" t="str">
        <f>""</f>
        <v/>
      </c>
      <c r="BO213" t="str">
        <f>""</f>
        <v/>
      </c>
      <c r="BP213" t="str">
        <f>""</f>
        <v/>
      </c>
      <c r="BQ213" t="str">
        <f>""</f>
        <v/>
      </c>
      <c r="BR213" t="str">
        <f>""</f>
        <v/>
      </c>
      <c r="BS213" t="str">
        <f>""</f>
        <v/>
      </c>
      <c r="BT213" t="str">
        <f>""</f>
        <v/>
      </c>
      <c r="BU213" t="str">
        <f>""</f>
        <v/>
      </c>
      <c r="BV213" t="str">
        <f>""</f>
        <v/>
      </c>
      <c r="BW213" t="str">
        <f>""</f>
        <v/>
      </c>
      <c r="BX213" t="str">
        <f>""</f>
        <v/>
      </c>
      <c r="BY213" t="str">
        <f>""</f>
        <v/>
      </c>
      <c r="BZ213" t="str">
        <f>""</f>
        <v/>
      </c>
      <c r="CA213" t="str">
        <f>""</f>
        <v/>
      </c>
      <c r="CB213" t="str">
        <f>""</f>
        <v/>
      </c>
      <c r="CC213" t="str">
        <f>""</f>
        <v/>
      </c>
      <c r="CD213" t="str">
        <f>""</f>
        <v/>
      </c>
      <c r="CE213" t="str">
        <f>""</f>
        <v/>
      </c>
      <c r="CF213" t="str">
        <f>""</f>
        <v/>
      </c>
      <c r="CG213" t="str">
        <f>""</f>
        <v/>
      </c>
      <c r="CH213" t="str">
        <f>""</f>
        <v/>
      </c>
      <c r="CI213" t="str">
        <f>""</f>
        <v/>
      </c>
      <c r="CJ213" t="str">
        <f>""</f>
        <v/>
      </c>
      <c r="CK213" t="str">
        <f>""</f>
        <v/>
      </c>
      <c r="CL213" t="str">
        <f>""</f>
        <v/>
      </c>
      <c r="CM213" t="str">
        <f>""</f>
        <v/>
      </c>
      <c r="CN213" t="str">
        <f>""</f>
        <v/>
      </c>
      <c r="CO213" t="str">
        <f>""</f>
        <v/>
      </c>
      <c r="CP213" t="str">
        <f>""</f>
        <v/>
      </c>
      <c r="CQ213" t="str">
        <f>""</f>
        <v/>
      </c>
      <c r="CR213" t="str">
        <f>""</f>
        <v/>
      </c>
      <c r="CS213" t="str">
        <f>""</f>
        <v/>
      </c>
      <c r="CT213" t="str">
        <f>""</f>
        <v/>
      </c>
      <c r="CU213" t="str">
        <f>""</f>
        <v/>
      </c>
      <c r="CV213" t="str">
        <f>""</f>
        <v/>
      </c>
      <c r="CW213" t="str">
        <f>""</f>
        <v/>
      </c>
      <c r="CX213" t="str">
        <f>""</f>
        <v/>
      </c>
      <c r="CY213" t="str">
        <f>""</f>
        <v/>
      </c>
      <c r="CZ213" t="str">
        <f>""</f>
        <v/>
      </c>
      <c r="DA213" t="str">
        <f>""</f>
        <v/>
      </c>
      <c r="DB213" t="str">
        <f>""</f>
        <v/>
      </c>
      <c r="DC213" t="str">
        <f>""</f>
        <v/>
      </c>
      <c r="DD213" t="str">
        <f>""</f>
        <v/>
      </c>
      <c r="DE213" t="str">
        <f>""</f>
        <v/>
      </c>
      <c r="DF213" t="str">
        <f>""</f>
        <v/>
      </c>
      <c r="DG213" t="str">
        <f>""</f>
        <v/>
      </c>
      <c r="DH213" t="str">
        <f>""</f>
        <v/>
      </c>
      <c r="DI213" t="str">
        <f>""</f>
        <v/>
      </c>
      <c r="DJ213" t="str">
        <f>""</f>
        <v/>
      </c>
      <c r="DK213" t="str">
        <f>""</f>
        <v/>
      </c>
      <c r="DL213" t="str">
        <f>""</f>
        <v/>
      </c>
      <c r="DM213" t="str">
        <f>""</f>
        <v/>
      </c>
      <c r="DN213" t="str">
        <f>""</f>
        <v/>
      </c>
      <c r="DO213" t="str">
        <f>""</f>
        <v/>
      </c>
      <c r="DP213" t="str">
        <f>""</f>
        <v/>
      </c>
      <c r="DQ213" t="str">
        <f>""</f>
        <v/>
      </c>
      <c r="DR213" t="str">
        <f>""</f>
        <v/>
      </c>
      <c r="DS213" t="str">
        <f>""</f>
        <v/>
      </c>
      <c r="DT213" t="str">
        <f>""</f>
        <v/>
      </c>
      <c r="DU213" t="str">
        <f>""</f>
        <v/>
      </c>
    </row>
    <row r="214" spans="1:125" x14ac:dyDescent="0.25">
      <c r="A214" t="str">
        <f>$A$75</f>
        <v xml:space="preserve">            First Citizens BancShares Inc/</v>
      </c>
      <c r="B214" t="str">
        <f>$B$75</f>
        <v>FCNCA US Equity</v>
      </c>
      <c r="C214" t="str">
        <f>$C$75</f>
        <v>FC070</v>
      </c>
      <c r="D214" t="str">
        <f>$D$75</f>
        <v>FDIC_TRADING_ACCT_ASSETS</v>
      </c>
      <c r="E214" t="str">
        <f>$E$75</f>
        <v>Dynamic</v>
      </c>
      <c r="F214">
        <f ca="1">_xll.BDH($B$75,$C$75,$B$143,$B$144,CONCATENATE("Per=",$B$141),"Dts=H","Dir=H",CONCATENATE("Points=",$B$142),"Sort=R","Days=A","Fill=B",CONCATENATE("FX=", $B$140),"cols=60;rows=1")</f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 t="str">
        <f>""</f>
        <v/>
      </c>
      <c r="BO214" t="str">
        <f>""</f>
        <v/>
      </c>
      <c r="BP214" t="str">
        <f>""</f>
        <v/>
      </c>
      <c r="BQ214" t="str">
        <f>""</f>
        <v/>
      </c>
      <c r="BR214" t="str">
        <f>""</f>
        <v/>
      </c>
      <c r="BS214" t="str">
        <f>""</f>
        <v/>
      </c>
      <c r="BT214" t="str">
        <f>""</f>
        <v/>
      </c>
      <c r="BU214" t="str">
        <f>""</f>
        <v/>
      </c>
      <c r="BV214" t="str">
        <f>""</f>
        <v/>
      </c>
      <c r="BW214" t="str">
        <f>""</f>
        <v/>
      </c>
      <c r="BX214" t="str">
        <f>""</f>
        <v/>
      </c>
      <c r="BY214" t="str">
        <f>""</f>
        <v/>
      </c>
      <c r="BZ214" t="str">
        <f>""</f>
        <v/>
      </c>
      <c r="CA214" t="str">
        <f>""</f>
        <v/>
      </c>
      <c r="CB214" t="str">
        <f>""</f>
        <v/>
      </c>
      <c r="CC214" t="str">
        <f>""</f>
        <v/>
      </c>
      <c r="CD214" t="str">
        <f>""</f>
        <v/>
      </c>
      <c r="CE214" t="str">
        <f>""</f>
        <v/>
      </c>
      <c r="CF214" t="str">
        <f>""</f>
        <v/>
      </c>
      <c r="CG214" t="str">
        <f>""</f>
        <v/>
      </c>
      <c r="CH214" t="str">
        <f>""</f>
        <v/>
      </c>
      <c r="CI214" t="str">
        <f>""</f>
        <v/>
      </c>
      <c r="CJ214" t="str">
        <f>""</f>
        <v/>
      </c>
      <c r="CK214" t="str">
        <f>""</f>
        <v/>
      </c>
      <c r="CL214" t="str">
        <f>""</f>
        <v/>
      </c>
      <c r="CM214" t="str">
        <f>""</f>
        <v/>
      </c>
      <c r="CN214" t="str">
        <f>""</f>
        <v/>
      </c>
      <c r="CO214" t="str">
        <f>""</f>
        <v/>
      </c>
      <c r="CP214" t="str">
        <f>""</f>
        <v/>
      </c>
      <c r="CQ214" t="str">
        <f>""</f>
        <v/>
      </c>
      <c r="CR214" t="str">
        <f>""</f>
        <v/>
      </c>
      <c r="CS214" t="str">
        <f>""</f>
        <v/>
      </c>
      <c r="CT214" t="str">
        <f>""</f>
        <v/>
      </c>
      <c r="CU214" t="str">
        <f>""</f>
        <v/>
      </c>
      <c r="CV214" t="str">
        <f>""</f>
        <v/>
      </c>
      <c r="CW214" t="str">
        <f>""</f>
        <v/>
      </c>
      <c r="CX214" t="str">
        <f>""</f>
        <v/>
      </c>
      <c r="CY214" t="str">
        <f>""</f>
        <v/>
      </c>
      <c r="CZ214" t="str">
        <f>""</f>
        <v/>
      </c>
      <c r="DA214" t="str">
        <f>""</f>
        <v/>
      </c>
      <c r="DB214" t="str">
        <f>""</f>
        <v/>
      </c>
      <c r="DC214" t="str">
        <f>""</f>
        <v/>
      </c>
      <c r="DD214" t="str">
        <f>""</f>
        <v/>
      </c>
      <c r="DE214" t="str">
        <f>""</f>
        <v/>
      </c>
      <c r="DF214" t="str">
        <f>""</f>
        <v/>
      </c>
      <c r="DG214" t="str">
        <f>""</f>
        <v/>
      </c>
      <c r="DH214" t="str">
        <f>""</f>
        <v/>
      </c>
      <c r="DI214" t="str">
        <f>""</f>
        <v/>
      </c>
      <c r="DJ214" t="str">
        <f>""</f>
        <v/>
      </c>
      <c r="DK214" t="str">
        <f>""</f>
        <v/>
      </c>
      <c r="DL214" t="str">
        <f>""</f>
        <v/>
      </c>
      <c r="DM214" t="str">
        <f>""</f>
        <v/>
      </c>
      <c r="DN214" t="str">
        <f>""</f>
        <v/>
      </c>
      <c r="DO214" t="str">
        <f>""</f>
        <v/>
      </c>
      <c r="DP214" t="str">
        <f>""</f>
        <v/>
      </c>
      <c r="DQ214" t="str">
        <f>""</f>
        <v/>
      </c>
      <c r="DR214" t="str">
        <f>""</f>
        <v/>
      </c>
      <c r="DS214" t="str">
        <f>""</f>
        <v/>
      </c>
      <c r="DT214" t="str">
        <f>""</f>
        <v/>
      </c>
      <c r="DU214" t="str">
        <f>""</f>
        <v/>
      </c>
    </row>
    <row r="215" spans="1:125" x14ac:dyDescent="0.25">
      <c r="A215" t="str">
        <f>$A$76</f>
        <v xml:space="preserve">            Flagstar Financial Inc</v>
      </c>
      <c r="B215" t="str">
        <f>$B$76</f>
        <v>FLG US Equity</v>
      </c>
      <c r="C215" t="str">
        <f>$C$76</f>
        <v>FC070</v>
      </c>
      <c r="D215" t="str">
        <f>$D$76</f>
        <v>FDIC_TRADING_ACCT_ASSETS</v>
      </c>
      <c r="E215" t="str">
        <f>$E$76</f>
        <v>Dynamic</v>
      </c>
      <c r="F215">
        <f ca="1">_xll.BDH($B$76,$C$76,$B$143,$B$144,CONCATENATE("Per=",$B$141),"Dts=H","Dir=H",CONCATENATE("Points=",$B$142),"Sort=R","Days=A","Fill=B",CONCATENATE("FX=", $B$140),"cols=60;rows=1")</f>
        <v>7.306</v>
      </c>
      <c r="G215">
        <v>6.0629999999999997</v>
      </c>
      <c r="H215">
        <v>101.703</v>
      </c>
      <c r="I215">
        <v>91.122</v>
      </c>
      <c r="J215">
        <v>105.129</v>
      </c>
      <c r="K215">
        <v>153.59899999999999</v>
      </c>
      <c r="L215">
        <v>144.78100000000001</v>
      </c>
      <c r="M215">
        <v>154.18</v>
      </c>
      <c r="N215">
        <v>207.36099999999999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 t="str">
        <f>""</f>
        <v/>
      </c>
      <c r="BO215" t="str">
        <f>""</f>
        <v/>
      </c>
      <c r="BP215" t="str">
        <f>""</f>
        <v/>
      </c>
      <c r="BQ215" t="str">
        <f>""</f>
        <v/>
      </c>
      <c r="BR215" t="str">
        <f>""</f>
        <v/>
      </c>
      <c r="BS215" t="str">
        <f>""</f>
        <v/>
      </c>
      <c r="BT215" t="str">
        <f>""</f>
        <v/>
      </c>
      <c r="BU215" t="str">
        <f>""</f>
        <v/>
      </c>
      <c r="BV215" t="str">
        <f>""</f>
        <v/>
      </c>
      <c r="BW215" t="str">
        <f>""</f>
        <v/>
      </c>
      <c r="BX215" t="str">
        <f>""</f>
        <v/>
      </c>
      <c r="BY215" t="str">
        <f>""</f>
        <v/>
      </c>
      <c r="BZ215" t="str">
        <f>""</f>
        <v/>
      </c>
      <c r="CA215" t="str">
        <f>""</f>
        <v/>
      </c>
      <c r="CB215" t="str">
        <f>""</f>
        <v/>
      </c>
      <c r="CC215" t="str">
        <f>""</f>
        <v/>
      </c>
      <c r="CD215" t="str">
        <f>""</f>
        <v/>
      </c>
      <c r="CE215" t="str">
        <f>""</f>
        <v/>
      </c>
      <c r="CF215" t="str">
        <f>""</f>
        <v/>
      </c>
      <c r="CG215" t="str">
        <f>""</f>
        <v/>
      </c>
      <c r="CH215" t="str">
        <f>""</f>
        <v/>
      </c>
      <c r="CI215" t="str">
        <f>""</f>
        <v/>
      </c>
      <c r="CJ215" t="str">
        <f>""</f>
        <v/>
      </c>
      <c r="CK215" t="str">
        <f>""</f>
        <v/>
      </c>
      <c r="CL215" t="str">
        <f>""</f>
        <v/>
      </c>
      <c r="CM215" t="str">
        <f>""</f>
        <v/>
      </c>
      <c r="CN215" t="str">
        <f>""</f>
        <v/>
      </c>
      <c r="CO215" t="str">
        <f>""</f>
        <v/>
      </c>
      <c r="CP215" t="str">
        <f>""</f>
        <v/>
      </c>
      <c r="CQ215" t="str">
        <f>""</f>
        <v/>
      </c>
      <c r="CR215" t="str">
        <f>""</f>
        <v/>
      </c>
      <c r="CS215" t="str">
        <f>""</f>
        <v/>
      </c>
      <c r="CT215" t="str">
        <f>""</f>
        <v/>
      </c>
      <c r="CU215" t="str">
        <f>""</f>
        <v/>
      </c>
      <c r="CV215" t="str">
        <f>""</f>
        <v/>
      </c>
      <c r="CW215" t="str">
        <f>""</f>
        <v/>
      </c>
      <c r="CX215" t="str">
        <f>""</f>
        <v/>
      </c>
      <c r="CY215" t="str">
        <f>""</f>
        <v/>
      </c>
      <c r="CZ215" t="str">
        <f>""</f>
        <v/>
      </c>
      <c r="DA215" t="str">
        <f>""</f>
        <v/>
      </c>
      <c r="DB215" t="str">
        <f>""</f>
        <v/>
      </c>
      <c r="DC215" t="str">
        <f>""</f>
        <v/>
      </c>
      <c r="DD215" t="str">
        <f>""</f>
        <v/>
      </c>
      <c r="DE215" t="str">
        <f>""</f>
        <v/>
      </c>
      <c r="DF215" t="str">
        <f>""</f>
        <v/>
      </c>
      <c r="DG215" t="str">
        <f>""</f>
        <v/>
      </c>
      <c r="DH215" t="str">
        <f>""</f>
        <v/>
      </c>
      <c r="DI215" t="str">
        <f>""</f>
        <v/>
      </c>
      <c r="DJ215" t="str">
        <f>""</f>
        <v/>
      </c>
      <c r="DK215" t="str">
        <f>""</f>
        <v/>
      </c>
      <c r="DL215" t="str">
        <f>""</f>
        <v/>
      </c>
      <c r="DM215" t="str">
        <f>""</f>
        <v/>
      </c>
      <c r="DN215" t="str">
        <f>""</f>
        <v/>
      </c>
      <c r="DO215" t="str">
        <f>""</f>
        <v/>
      </c>
      <c r="DP215" t="str">
        <f>""</f>
        <v/>
      </c>
      <c r="DQ215" t="str">
        <f>""</f>
        <v/>
      </c>
      <c r="DR215" t="str">
        <f>""</f>
        <v/>
      </c>
      <c r="DS215" t="str">
        <f>""</f>
        <v/>
      </c>
      <c r="DT215" t="str">
        <f>""</f>
        <v/>
      </c>
      <c r="DU215" t="str">
        <f>""</f>
        <v/>
      </c>
    </row>
    <row r="216" spans="1:125" x14ac:dyDescent="0.25">
      <c r="A216" t="str">
        <f>$A$77</f>
        <v xml:space="preserve">            Huntington Bancshares Inc/OH</v>
      </c>
      <c r="B216" t="str">
        <f>$B$77</f>
        <v>HBAN US Equity</v>
      </c>
      <c r="C216" t="str">
        <f>$C$77</f>
        <v>FC070</v>
      </c>
      <c r="D216" t="str">
        <f>$D$77</f>
        <v>FDIC_TRADING_ACCT_ASSETS</v>
      </c>
      <c r="E216" t="str">
        <f>$E$77</f>
        <v>Dynamic</v>
      </c>
      <c r="F216">
        <f ca="1">_xll.BDH($B$77,$C$77,$B$143,$B$144,CONCATENATE("Per=",$B$141),"Dts=H","Dir=H",CONCATENATE("Points=",$B$142),"Sort=R","Days=A","Fill=B",CONCATENATE("FX=", $B$140),"cols=60;rows=1")</f>
        <v>288.964</v>
      </c>
      <c r="G216">
        <v>743.89200000000005</v>
      </c>
      <c r="H216">
        <v>530.01</v>
      </c>
      <c r="I216">
        <v>425.52800000000002</v>
      </c>
      <c r="J216">
        <v>418.46</v>
      </c>
      <c r="K216">
        <v>585.553</v>
      </c>
      <c r="L216">
        <v>547.03</v>
      </c>
      <c r="M216">
        <v>320.65300000000002</v>
      </c>
      <c r="N216">
        <v>365.54399999999998</v>
      </c>
      <c r="O216">
        <v>448.87</v>
      </c>
      <c r="P216">
        <v>362.09800000000001</v>
      </c>
      <c r="Q216">
        <v>581.9</v>
      </c>
      <c r="R216">
        <v>641.38599999999997</v>
      </c>
      <c r="S216">
        <v>959.62599999999998</v>
      </c>
      <c r="T216">
        <v>1018.497</v>
      </c>
      <c r="U216">
        <v>1023.41</v>
      </c>
      <c r="V216">
        <v>1119.386</v>
      </c>
      <c r="W216">
        <v>1132.4849999999999</v>
      </c>
      <c r="X216">
        <v>1129.0050000000001</v>
      </c>
      <c r="Y216">
        <v>1098.5250000000001</v>
      </c>
      <c r="Z216">
        <v>544.94100000000003</v>
      </c>
      <c r="AA216">
        <v>685.072</v>
      </c>
      <c r="AB216">
        <v>604.07899999999995</v>
      </c>
      <c r="AC216">
        <v>418.36500000000001</v>
      </c>
      <c r="AD216">
        <v>303.488</v>
      </c>
      <c r="AE216">
        <v>247.97200000000001</v>
      </c>
      <c r="AF216">
        <v>251.53100000000001</v>
      </c>
      <c r="AG216">
        <v>168.89699999999999</v>
      </c>
      <c r="AH216">
        <v>214.47200000000001</v>
      </c>
      <c r="AI216">
        <v>250.77699999999999</v>
      </c>
      <c r="AJ216">
        <v>269.79199999999997</v>
      </c>
      <c r="AK216">
        <v>270.14100000000002</v>
      </c>
      <c r="AL216">
        <v>360.08100000000002</v>
      </c>
      <c r="AM216">
        <v>445.51499999999999</v>
      </c>
      <c r="AN216">
        <v>409.22899999999998</v>
      </c>
      <c r="AO216">
        <v>378.76400000000001</v>
      </c>
      <c r="AP216">
        <v>287.702</v>
      </c>
      <c r="AQ216">
        <v>344.14100000000002</v>
      </c>
      <c r="AR216">
        <v>282.113</v>
      </c>
      <c r="AS216">
        <v>325.154</v>
      </c>
      <c r="AT216">
        <v>271.48099999999999</v>
      </c>
      <c r="AU216">
        <v>269.02</v>
      </c>
      <c r="AV216">
        <v>262.303</v>
      </c>
      <c r="AW216">
        <v>260.67099999999999</v>
      </c>
      <c r="AX216">
        <v>230.58600000000001</v>
      </c>
      <c r="AY216">
        <v>281.923</v>
      </c>
      <c r="AZ216">
        <v>328.94299999999998</v>
      </c>
      <c r="BA216">
        <v>368.45299999999997</v>
      </c>
      <c r="BB216">
        <v>406.84899999999999</v>
      </c>
      <c r="BC216">
        <v>435.19</v>
      </c>
      <c r="BD216">
        <v>384.63200000000001</v>
      </c>
      <c r="BE216">
        <v>348.18799999999999</v>
      </c>
      <c r="BF216">
        <v>354.32799999999997</v>
      </c>
      <c r="BG216">
        <v>411.26900000000001</v>
      </c>
      <c r="BH216">
        <v>351.52300000000002</v>
      </c>
      <c r="BI216">
        <v>389.286</v>
      </c>
      <c r="BJ216">
        <v>448.42</v>
      </c>
      <c r="BK216">
        <v>496.416</v>
      </c>
      <c r="BL216">
        <v>441.62400000000002</v>
      </c>
      <c r="BM216">
        <v>417.33</v>
      </c>
      <c r="BN216" t="str">
        <f>""</f>
        <v/>
      </c>
      <c r="BO216" t="str">
        <f>""</f>
        <v/>
      </c>
      <c r="BP216" t="str">
        <f>""</f>
        <v/>
      </c>
      <c r="BQ216" t="str">
        <f>""</f>
        <v/>
      </c>
      <c r="BR216" t="str">
        <f>""</f>
        <v/>
      </c>
      <c r="BS216" t="str">
        <f>""</f>
        <v/>
      </c>
      <c r="BT216" t="str">
        <f>""</f>
        <v/>
      </c>
      <c r="BU216" t="str">
        <f>""</f>
        <v/>
      </c>
      <c r="BV216" t="str">
        <f>""</f>
        <v/>
      </c>
      <c r="BW216" t="str">
        <f>""</f>
        <v/>
      </c>
      <c r="BX216" t="str">
        <f>""</f>
        <v/>
      </c>
      <c r="BY216" t="str">
        <f>""</f>
        <v/>
      </c>
      <c r="BZ216" t="str">
        <f>""</f>
        <v/>
      </c>
      <c r="CA216" t="str">
        <f>""</f>
        <v/>
      </c>
      <c r="CB216" t="str">
        <f>""</f>
        <v/>
      </c>
      <c r="CC216" t="str">
        <f>""</f>
        <v/>
      </c>
      <c r="CD216" t="str">
        <f>""</f>
        <v/>
      </c>
      <c r="CE216" t="str">
        <f>""</f>
        <v/>
      </c>
      <c r="CF216" t="str">
        <f>""</f>
        <v/>
      </c>
      <c r="CG216" t="str">
        <f>""</f>
        <v/>
      </c>
      <c r="CH216" t="str">
        <f>""</f>
        <v/>
      </c>
      <c r="CI216" t="str">
        <f>""</f>
        <v/>
      </c>
      <c r="CJ216" t="str">
        <f>""</f>
        <v/>
      </c>
      <c r="CK216" t="str">
        <f>""</f>
        <v/>
      </c>
      <c r="CL216" t="str">
        <f>""</f>
        <v/>
      </c>
      <c r="CM216" t="str">
        <f>""</f>
        <v/>
      </c>
      <c r="CN216" t="str">
        <f>""</f>
        <v/>
      </c>
      <c r="CO216" t="str">
        <f>""</f>
        <v/>
      </c>
      <c r="CP216" t="str">
        <f>""</f>
        <v/>
      </c>
      <c r="CQ216" t="str">
        <f>""</f>
        <v/>
      </c>
      <c r="CR216" t="str">
        <f>""</f>
        <v/>
      </c>
      <c r="CS216" t="str">
        <f>""</f>
        <v/>
      </c>
      <c r="CT216" t="str">
        <f>""</f>
        <v/>
      </c>
      <c r="CU216" t="str">
        <f>""</f>
        <v/>
      </c>
      <c r="CV216" t="str">
        <f>""</f>
        <v/>
      </c>
      <c r="CW216" t="str">
        <f>""</f>
        <v/>
      </c>
      <c r="CX216" t="str">
        <f>""</f>
        <v/>
      </c>
      <c r="CY216" t="str">
        <f>""</f>
        <v/>
      </c>
      <c r="CZ216" t="str">
        <f>""</f>
        <v/>
      </c>
      <c r="DA216" t="str">
        <f>""</f>
        <v/>
      </c>
      <c r="DB216" t="str">
        <f>""</f>
        <v/>
      </c>
      <c r="DC216" t="str">
        <f>""</f>
        <v/>
      </c>
      <c r="DD216" t="str">
        <f>""</f>
        <v/>
      </c>
      <c r="DE216" t="str">
        <f>""</f>
        <v/>
      </c>
      <c r="DF216" t="str">
        <f>""</f>
        <v/>
      </c>
      <c r="DG216" t="str">
        <f>""</f>
        <v/>
      </c>
      <c r="DH216" t="str">
        <f>""</f>
        <v/>
      </c>
      <c r="DI216" t="str">
        <f>""</f>
        <v/>
      </c>
      <c r="DJ216" t="str">
        <f>""</f>
        <v/>
      </c>
      <c r="DK216" t="str">
        <f>""</f>
        <v/>
      </c>
      <c r="DL216" t="str">
        <f>""</f>
        <v/>
      </c>
      <c r="DM216" t="str">
        <f>""</f>
        <v/>
      </c>
      <c r="DN216" t="str">
        <f>""</f>
        <v/>
      </c>
      <c r="DO216" t="str">
        <f>""</f>
        <v/>
      </c>
      <c r="DP216" t="str">
        <f>""</f>
        <v/>
      </c>
      <c r="DQ216" t="str">
        <f>""</f>
        <v/>
      </c>
      <c r="DR216" t="str">
        <f>""</f>
        <v/>
      </c>
      <c r="DS216" t="str">
        <f>""</f>
        <v/>
      </c>
      <c r="DT216" t="str">
        <f>""</f>
        <v/>
      </c>
      <c r="DU216" t="str">
        <f>""</f>
        <v/>
      </c>
    </row>
    <row r="217" spans="1:125" x14ac:dyDescent="0.25">
      <c r="A217" t="str">
        <f>$A$78</f>
        <v xml:space="preserve">            JPMorgan Chase &amp; Co</v>
      </c>
      <c r="B217" t="str">
        <f>$B$78</f>
        <v>JPM US Equity</v>
      </c>
      <c r="C217" t="str">
        <f>$C$78</f>
        <v>FC070</v>
      </c>
      <c r="D217" t="str">
        <f>$D$78</f>
        <v>FDIC_TRADING_ACCT_ASSETS</v>
      </c>
      <c r="E217" t="str">
        <f>$E$78</f>
        <v>Dynamic</v>
      </c>
      <c r="F217">
        <f ca="1">_xll.BDH($B$78,$C$78,$B$143,$B$144,CONCATENATE("Per=",$B$141),"Dts=H","Dir=H",CONCATENATE("Points=",$B$142),"Sort=R","Days=A","Fill=B",CONCATENATE("FX=", $B$140),"cols=60;rows=1")</f>
        <v>636895</v>
      </c>
      <c r="G217">
        <v>786596</v>
      </c>
      <c r="H217">
        <v>733020</v>
      </c>
      <c r="I217">
        <v>753569</v>
      </c>
      <c r="J217">
        <v>539828</v>
      </c>
      <c r="K217">
        <v>601267</v>
      </c>
      <c r="L217">
        <v>636306</v>
      </c>
      <c r="M217">
        <v>578152</v>
      </c>
      <c r="N217">
        <v>452945</v>
      </c>
      <c r="O217">
        <v>505619</v>
      </c>
      <c r="P217">
        <v>464804</v>
      </c>
      <c r="Q217">
        <v>510759</v>
      </c>
      <c r="R217">
        <v>432705</v>
      </c>
      <c r="S217">
        <v>514632</v>
      </c>
      <c r="T217">
        <v>520090</v>
      </c>
      <c r="U217">
        <v>543551</v>
      </c>
      <c r="V217">
        <v>502399</v>
      </c>
      <c r="W217">
        <v>504604</v>
      </c>
      <c r="X217">
        <v>524920</v>
      </c>
      <c r="Y217">
        <v>547862</v>
      </c>
      <c r="Z217">
        <v>410892</v>
      </c>
      <c r="AA217">
        <v>495649</v>
      </c>
      <c r="AB217">
        <v>523171</v>
      </c>
      <c r="AC217">
        <v>533240</v>
      </c>
      <c r="AD217">
        <v>413541</v>
      </c>
      <c r="AE217">
        <v>419681</v>
      </c>
      <c r="AF217">
        <v>418655</v>
      </c>
      <c r="AG217">
        <v>411999</v>
      </c>
      <c r="AH217">
        <v>381515</v>
      </c>
      <c r="AI217">
        <v>420052</v>
      </c>
      <c r="AJ217">
        <v>406722</v>
      </c>
      <c r="AK217">
        <v>402216</v>
      </c>
      <c r="AL217">
        <v>371794</v>
      </c>
      <c r="AM217">
        <v>374381</v>
      </c>
      <c r="AN217">
        <v>380256</v>
      </c>
      <c r="AO217">
        <v>365741</v>
      </c>
      <c r="AP217">
        <v>343545</v>
      </c>
      <c r="AQ217">
        <v>361704</v>
      </c>
      <c r="AR217">
        <v>376262</v>
      </c>
      <c r="AS217">
        <v>398977</v>
      </c>
      <c r="AT217">
        <v>398987</v>
      </c>
      <c r="AU217">
        <v>410650</v>
      </c>
      <c r="AV217">
        <v>392522</v>
      </c>
      <c r="AW217">
        <v>375191</v>
      </c>
      <c r="AX217">
        <v>374636</v>
      </c>
      <c r="AY217">
        <v>383320</v>
      </c>
      <c r="AZ217">
        <v>401366</v>
      </c>
      <c r="BA217">
        <v>430931</v>
      </c>
      <c r="BB217">
        <v>449226</v>
      </c>
      <c r="BC217">
        <v>445456</v>
      </c>
      <c r="BD217">
        <v>414665</v>
      </c>
      <c r="BE217">
        <v>453761</v>
      </c>
      <c r="BF217">
        <v>441033</v>
      </c>
      <c r="BG217">
        <v>458671</v>
      </c>
      <c r="BH217">
        <v>457884</v>
      </c>
      <c r="BI217">
        <v>500089</v>
      </c>
      <c r="BJ217">
        <v>489892</v>
      </c>
      <c r="BK217">
        <v>475515</v>
      </c>
      <c r="BL217">
        <v>397508</v>
      </c>
      <c r="BM217">
        <v>426128</v>
      </c>
      <c r="BN217" t="str">
        <f>""</f>
        <v/>
      </c>
      <c r="BO217" t="str">
        <f>""</f>
        <v/>
      </c>
      <c r="BP217" t="str">
        <f>""</f>
        <v/>
      </c>
      <c r="BQ217" t="str">
        <f>""</f>
        <v/>
      </c>
      <c r="BR217" t="str">
        <f>""</f>
        <v/>
      </c>
      <c r="BS217" t="str">
        <f>""</f>
        <v/>
      </c>
      <c r="BT217" t="str">
        <f>""</f>
        <v/>
      </c>
      <c r="BU217" t="str">
        <f>""</f>
        <v/>
      </c>
      <c r="BV217" t="str">
        <f>""</f>
        <v/>
      </c>
      <c r="BW217" t="str">
        <f>""</f>
        <v/>
      </c>
      <c r="BX217" t="str">
        <f>""</f>
        <v/>
      </c>
      <c r="BY217" t="str">
        <f>""</f>
        <v/>
      </c>
      <c r="BZ217" t="str">
        <f>""</f>
        <v/>
      </c>
      <c r="CA217" t="str">
        <f>""</f>
        <v/>
      </c>
      <c r="CB217" t="str">
        <f>""</f>
        <v/>
      </c>
      <c r="CC217" t="str">
        <f>""</f>
        <v/>
      </c>
      <c r="CD217" t="str">
        <f>""</f>
        <v/>
      </c>
      <c r="CE217" t="str">
        <f>""</f>
        <v/>
      </c>
      <c r="CF217" t="str">
        <f>""</f>
        <v/>
      </c>
      <c r="CG217" t="str">
        <f>""</f>
        <v/>
      </c>
      <c r="CH217" t="str">
        <f>""</f>
        <v/>
      </c>
      <c r="CI217" t="str">
        <f>""</f>
        <v/>
      </c>
      <c r="CJ217" t="str">
        <f>""</f>
        <v/>
      </c>
      <c r="CK217" t="str">
        <f>""</f>
        <v/>
      </c>
      <c r="CL217" t="str">
        <f>""</f>
        <v/>
      </c>
      <c r="CM217" t="str">
        <f>""</f>
        <v/>
      </c>
      <c r="CN217" t="str">
        <f>""</f>
        <v/>
      </c>
      <c r="CO217" t="str">
        <f>""</f>
        <v/>
      </c>
      <c r="CP217" t="str">
        <f>""</f>
        <v/>
      </c>
      <c r="CQ217" t="str">
        <f>""</f>
        <v/>
      </c>
      <c r="CR217" t="str">
        <f>""</f>
        <v/>
      </c>
      <c r="CS217" t="str">
        <f>""</f>
        <v/>
      </c>
      <c r="CT217" t="str">
        <f>""</f>
        <v/>
      </c>
      <c r="CU217" t="str">
        <f>""</f>
        <v/>
      </c>
      <c r="CV217" t="str">
        <f>""</f>
        <v/>
      </c>
      <c r="CW217" t="str">
        <f>""</f>
        <v/>
      </c>
      <c r="CX217" t="str">
        <f>""</f>
        <v/>
      </c>
      <c r="CY217" t="str">
        <f>""</f>
        <v/>
      </c>
      <c r="CZ217" t="str">
        <f>""</f>
        <v/>
      </c>
      <c r="DA217" t="str">
        <f>""</f>
        <v/>
      </c>
      <c r="DB217" t="str">
        <f>""</f>
        <v/>
      </c>
      <c r="DC217" t="str">
        <f>""</f>
        <v/>
      </c>
      <c r="DD217" t="str">
        <f>""</f>
        <v/>
      </c>
      <c r="DE217" t="str">
        <f>""</f>
        <v/>
      </c>
      <c r="DF217" t="str">
        <f>""</f>
        <v/>
      </c>
      <c r="DG217" t="str">
        <f>""</f>
        <v/>
      </c>
      <c r="DH217" t="str">
        <f>""</f>
        <v/>
      </c>
      <c r="DI217" t="str">
        <f>""</f>
        <v/>
      </c>
      <c r="DJ217" t="str">
        <f>""</f>
        <v/>
      </c>
      <c r="DK217" t="str">
        <f>""</f>
        <v/>
      </c>
      <c r="DL217" t="str">
        <f>""</f>
        <v/>
      </c>
      <c r="DM217" t="str">
        <f>""</f>
        <v/>
      </c>
      <c r="DN217" t="str">
        <f>""</f>
        <v/>
      </c>
      <c r="DO217" t="str">
        <f>""</f>
        <v/>
      </c>
      <c r="DP217" t="str">
        <f>""</f>
        <v/>
      </c>
      <c r="DQ217" t="str">
        <f>""</f>
        <v/>
      </c>
      <c r="DR217" t="str">
        <f>""</f>
        <v/>
      </c>
      <c r="DS217" t="str">
        <f>""</f>
        <v/>
      </c>
      <c r="DT217" t="str">
        <f>""</f>
        <v/>
      </c>
      <c r="DU217" t="str">
        <f>""</f>
        <v/>
      </c>
    </row>
    <row r="218" spans="1:125" x14ac:dyDescent="0.25">
      <c r="A218" t="str">
        <f>$A$79</f>
        <v xml:space="preserve">            KeyCorp</v>
      </c>
      <c r="B218" t="str">
        <f>$B$79</f>
        <v>KEY US Equity</v>
      </c>
      <c r="C218" t="str">
        <f>$C$79</f>
        <v>FC070</v>
      </c>
      <c r="D218" t="str">
        <f>$D$79</f>
        <v>FDIC_TRADING_ACCT_ASSETS</v>
      </c>
      <c r="E218" t="str">
        <f>$E$79</f>
        <v>Dynamic</v>
      </c>
      <c r="F218">
        <f ca="1">_xll.BDH($B$79,$C$79,$B$143,$B$144,CONCATENATE("Per=",$B$141),"Dts=H","Dir=H",CONCATENATE("Points=",$B$142),"Sort=R","Days=A","Fill=B",CONCATENATE("FX=", $B$140),"cols=60;rows=1")</f>
        <v>1537.377</v>
      </c>
      <c r="G218">
        <v>1615.8789999999999</v>
      </c>
      <c r="H218">
        <v>1443.2909999999999</v>
      </c>
      <c r="I218">
        <v>1376.277</v>
      </c>
      <c r="J218">
        <v>1309.194</v>
      </c>
      <c r="K218">
        <v>1729.203</v>
      </c>
      <c r="L218">
        <v>1427.58</v>
      </c>
      <c r="M218">
        <v>1498.8150000000001</v>
      </c>
      <c r="N218">
        <v>1755.36</v>
      </c>
      <c r="O218">
        <v>2603.86</v>
      </c>
      <c r="P218">
        <v>3387.8470000000002</v>
      </c>
      <c r="Q218">
        <v>3487.48</v>
      </c>
      <c r="R218">
        <v>2588.0659999999998</v>
      </c>
      <c r="S218">
        <v>3370.9650000000001</v>
      </c>
      <c r="T218">
        <v>2914.9450000000002</v>
      </c>
      <c r="U218">
        <v>2232.7890000000002</v>
      </c>
      <c r="V218">
        <v>2410.788</v>
      </c>
      <c r="W218">
        <v>2574.203</v>
      </c>
      <c r="X218">
        <v>2618.8429999999998</v>
      </c>
      <c r="Y218">
        <v>2802.527</v>
      </c>
      <c r="Z218">
        <v>1754.6880000000001</v>
      </c>
      <c r="AA218">
        <v>1990.943</v>
      </c>
      <c r="AB218">
        <v>1719.268</v>
      </c>
      <c r="AC218">
        <v>1468.2539999999999</v>
      </c>
      <c r="AD218">
        <v>1311.1880000000001</v>
      </c>
      <c r="AE218">
        <v>1658.1579999999999</v>
      </c>
      <c r="AF218">
        <v>1523.9580000000001</v>
      </c>
      <c r="AG218">
        <v>1371.383</v>
      </c>
      <c r="AH218">
        <v>1517.19</v>
      </c>
      <c r="AI218">
        <v>1380.962</v>
      </c>
      <c r="AJ218">
        <v>1689.4559999999999</v>
      </c>
      <c r="AK218">
        <v>1472.067</v>
      </c>
      <c r="AL218">
        <v>1585.1079999999999</v>
      </c>
      <c r="AM218">
        <v>1938.3009999999999</v>
      </c>
      <c r="AN218">
        <v>1801.1089999999999</v>
      </c>
      <c r="AO218">
        <v>1553.586</v>
      </c>
      <c r="AP218">
        <v>1340.5440000000001</v>
      </c>
      <c r="AQ218">
        <v>1446.1559999999999</v>
      </c>
      <c r="AR218">
        <v>1134.106</v>
      </c>
      <c r="AS218">
        <v>1426.5719999999999</v>
      </c>
      <c r="AT218">
        <v>1305.135</v>
      </c>
      <c r="AU218">
        <v>1312.1690000000001</v>
      </c>
      <c r="AV218">
        <v>1348.7670000000001</v>
      </c>
      <c r="AW218">
        <v>1187.778</v>
      </c>
      <c r="AX218">
        <v>1052.931</v>
      </c>
      <c r="AY218">
        <v>1178.075</v>
      </c>
      <c r="AZ218">
        <v>938.11400000000003</v>
      </c>
      <c r="BA218">
        <v>1173.2470000000001</v>
      </c>
      <c r="BB218">
        <v>1138.2429999999999</v>
      </c>
      <c r="BC218">
        <v>1264.07</v>
      </c>
      <c r="BD218">
        <v>1314.0630000000001</v>
      </c>
      <c r="BE218">
        <v>1263.134</v>
      </c>
      <c r="BF218">
        <v>1354.7860000000001</v>
      </c>
      <c r="BG218">
        <v>1442.021</v>
      </c>
      <c r="BH218">
        <v>1443.547</v>
      </c>
      <c r="BI218">
        <v>1843.3430000000001</v>
      </c>
      <c r="BJ218">
        <v>1742.241</v>
      </c>
      <c r="BK218">
        <v>2108.1779999999999</v>
      </c>
      <c r="BL218">
        <v>1885.7739999999999</v>
      </c>
      <c r="BM218">
        <v>1859.0329999999999</v>
      </c>
      <c r="BN218" t="str">
        <f>""</f>
        <v/>
      </c>
      <c r="BO218" t="str">
        <f>""</f>
        <v/>
      </c>
      <c r="BP218" t="str">
        <f>""</f>
        <v/>
      </c>
      <c r="BQ218" t="str">
        <f>""</f>
        <v/>
      </c>
      <c r="BR218" t="str">
        <f>""</f>
        <v/>
      </c>
      <c r="BS218" t="str">
        <f>""</f>
        <v/>
      </c>
      <c r="BT218" t="str">
        <f>""</f>
        <v/>
      </c>
      <c r="BU218" t="str">
        <f>""</f>
        <v/>
      </c>
      <c r="BV218" t="str">
        <f>""</f>
        <v/>
      </c>
      <c r="BW218" t="str">
        <f>""</f>
        <v/>
      </c>
      <c r="BX218" t="str">
        <f>""</f>
        <v/>
      </c>
      <c r="BY218" t="str">
        <f>""</f>
        <v/>
      </c>
      <c r="BZ218" t="str">
        <f>""</f>
        <v/>
      </c>
      <c r="CA218" t="str">
        <f>""</f>
        <v/>
      </c>
      <c r="CB218" t="str">
        <f>""</f>
        <v/>
      </c>
      <c r="CC218" t="str">
        <f>""</f>
        <v/>
      </c>
      <c r="CD218" t="str">
        <f>""</f>
        <v/>
      </c>
      <c r="CE218" t="str">
        <f>""</f>
        <v/>
      </c>
      <c r="CF218" t="str">
        <f>""</f>
        <v/>
      </c>
      <c r="CG218" t="str">
        <f>""</f>
        <v/>
      </c>
      <c r="CH218" t="str">
        <f>""</f>
        <v/>
      </c>
      <c r="CI218" t="str">
        <f>""</f>
        <v/>
      </c>
      <c r="CJ218" t="str">
        <f>""</f>
        <v/>
      </c>
      <c r="CK218" t="str">
        <f>""</f>
        <v/>
      </c>
      <c r="CL218" t="str">
        <f>""</f>
        <v/>
      </c>
      <c r="CM218" t="str">
        <f>""</f>
        <v/>
      </c>
      <c r="CN218" t="str">
        <f>""</f>
        <v/>
      </c>
      <c r="CO218" t="str">
        <f>""</f>
        <v/>
      </c>
      <c r="CP218" t="str">
        <f>""</f>
        <v/>
      </c>
      <c r="CQ218" t="str">
        <f>""</f>
        <v/>
      </c>
      <c r="CR218" t="str">
        <f>""</f>
        <v/>
      </c>
      <c r="CS218" t="str">
        <f>""</f>
        <v/>
      </c>
      <c r="CT218" t="str">
        <f>""</f>
        <v/>
      </c>
      <c r="CU218" t="str">
        <f>""</f>
        <v/>
      </c>
      <c r="CV218" t="str">
        <f>""</f>
        <v/>
      </c>
      <c r="CW218" t="str">
        <f>""</f>
        <v/>
      </c>
      <c r="CX218" t="str">
        <f>""</f>
        <v/>
      </c>
      <c r="CY218" t="str">
        <f>""</f>
        <v/>
      </c>
      <c r="CZ218" t="str">
        <f>""</f>
        <v/>
      </c>
      <c r="DA218" t="str">
        <f>""</f>
        <v/>
      </c>
      <c r="DB218" t="str">
        <f>""</f>
        <v/>
      </c>
      <c r="DC218" t="str">
        <f>""</f>
        <v/>
      </c>
      <c r="DD218" t="str">
        <f>""</f>
        <v/>
      </c>
      <c r="DE218" t="str">
        <f>""</f>
        <v/>
      </c>
      <c r="DF218" t="str">
        <f>""</f>
        <v/>
      </c>
      <c r="DG218" t="str">
        <f>""</f>
        <v/>
      </c>
      <c r="DH218" t="str">
        <f>""</f>
        <v/>
      </c>
      <c r="DI218" t="str">
        <f>""</f>
        <v/>
      </c>
      <c r="DJ218" t="str">
        <f>""</f>
        <v/>
      </c>
      <c r="DK218" t="str">
        <f>""</f>
        <v/>
      </c>
      <c r="DL218" t="str">
        <f>""</f>
        <v/>
      </c>
      <c r="DM218" t="str">
        <f>""</f>
        <v/>
      </c>
      <c r="DN218" t="str">
        <f>""</f>
        <v/>
      </c>
      <c r="DO218" t="str">
        <f>""</f>
        <v/>
      </c>
      <c r="DP218" t="str">
        <f>""</f>
        <v/>
      </c>
      <c r="DQ218" t="str">
        <f>""</f>
        <v/>
      </c>
      <c r="DR218" t="str">
        <f>""</f>
        <v/>
      </c>
      <c r="DS218" t="str">
        <f>""</f>
        <v/>
      </c>
      <c r="DT218" t="str">
        <f>""</f>
        <v/>
      </c>
      <c r="DU218" t="str">
        <f>""</f>
        <v/>
      </c>
    </row>
    <row r="219" spans="1:125" x14ac:dyDescent="0.25">
      <c r="A219" t="str">
        <f>$A$80</f>
        <v xml:space="preserve">            M&amp;T Bank Corp</v>
      </c>
      <c r="B219" t="str">
        <f>$B$80</f>
        <v>MTB US Equity</v>
      </c>
      <c r="C219" t="str">
        <f>$C$80</f>
        <v>FC070</v>
      </c>
      <c r="D219" t="str">
        <f>$D$80</f>
        <v>FDIC_TRADING_ACCT_ASSETS</v>
      </c>
      <c r="E219" t="str">
        <f>$E$80</f>
        <v>Dynamic</v>
      </c>
      <c r="F219">
        <f ca="1">_xll.BDH($B$80,$C$80,$B$143,$B$144,CONCATENATE("Per=",$B$141),"Dts=H","Dir=H",CONCATENATE("Points=",$B$142),"Sort=R","Days=A","Fill=B",CONCATENATE("FX=", $B$140),"cols=60;rows=1")</f>
        <v>101.351</v>
      </c>
      <c r="G219">
        <v>102.297</v>
      </c>
      <c r="H219">
        <v>98.561000000000007</v>
      </c>
      <c r="I219">
        <v>99.192999999999998</v>
      </c>
      <c r="J219">
        <v>106.072</v>
      </c>
      <c r="K219">
        <v>136.99799999999999</v>
      </c>
      <c r="L219">
        <v>137.24</v>
      </c>
      <c r="M219">
        <v>165.21600000000001</v>
      </c>
      <c r="N219">
        <v>117.84699999999999</v>
      </c>
      <c r="O219">
        <v>129.672</v>
      </c>
      <c r="P219">
        <v>133.85499999999999</v>
      </c>
      <c r="Q219">
        <v>197.55799999999999</v>
      </c>
      <c r="R219">
        <v>468.03100000000001</v>
      </c>
      <c r="S219">
        <v>624.55600000000004</v>
      </c>
      <c r="T219">
        <v>712.55799999999999</v>
      </c>
      <c r="U219">
        <v>687.35900000000004</v>
      </c>
      <c r="V219">
        <v>1068.5809999999999</v>
      </c>
      <c r="W219">
        <v>1215.5730000000001</v>
      </c>
      <c r="X219">
        <v>1293.5340000000001</v>
      </c>
      <c r="Y219">
        <v>1224.2909999999999</v>
      </c>
      <c r="Z219">
        <v>470.12900000000002</v>
      </c>
      <c r="AA219">
        <v>614.25599999999997</v>
      </c>
      <c r="AB219">
        <v>479.40300000000002</v>
      </c>
      <c r="AC219">
        <v>276.322</v>
      </c>
      <c r="AD219">
        <v>185.584</v>
      </c>
      <c r="AE219">
        <v>125.038</v>
      </c>
      <c r="AF219">
        <v>148.303</v>
      </c>
      <c r="AG219">
        <v>141.13399999999999</v>
      </c>
      <c r="AH219">
        <v>132.90899999999999</v>
      </c>
      <c r="AI219">
        <v>170.51599999999999</v>
      </c>
      <c r="AJ219">
        <v>174.64599999999999</v>
      </c>
      <c r="AK219">
        <v>174.85400000000001</v>
      </c>
      <c r="AL219">
        <v>323.86700000000002</v>
      </c>
      <c r="AM219">
        <v>488.58800000000002</v>
      </c>
      <c r="AN219">
        <v>506.13099999999997</v>
      </c>
      <c r="AO219">
        <v>467.98700000000002</v>
      </c>
      <c r="AP219">
        <v>273.78300000000002</v>
      </c>
      <c r="AQ219">
        <v>340.71</v>
      </c>
      <c r="AR219">
        <v>277.00900000000001</v>
      </c>
      <c r="AS219">
        <v>363.08499999999998</v>
      </c>
      <c r="AT219">
        <v>308.17500000000001</v>
      </c>
      <c r="AU219">
        <v>296.91300000000001</v>
      </c>
      <c r="AV219">
        <v>313.32499999999999</v>
      </c>
      <c r="AW219">
        <v>314.80700000000002</v>
      </c>
      <c r="AX219">
        <v>376.13099999999997</v>
      </c>
      <c r="AY219">
        <v>371.37</v>
      </c>
      <c r="AZ219">
        <v>378.23500000000001</v>
      </c>
      <c r="BA219">
        <v>420.14400000000001</v>
      </c>
      <c r="BB219">
        <v>488.96600000000001</v>
      </c>
      <c r="BC219">
        <v>526.84400000000005</v>
      </c>
      <c r="BD219">
        <v>544.93799999999999</v>
      </c>
      <c r="BE219">
        <v>517.62</v>
      </c>
      <c r="BF219">
        <v>561.83399999999995</v>
      </c>
      <c r="BG219">
        <v>605.55700000000002</v>
      </c>
      <c r="BH219">
        <v>502.98599999999999</v>
      </c>
      <c r="BI219">
        <v>413.73700000000002</v>
      </c>
      <c r="BJ219">
        <v>523.83399999999995</v>
      </c>
      <c r="BK219">
        <v>536.702</v>
      </c>
      <c r="BL219">
        <v>487.69200000000001</v>
      </c>
      <c r="BM219">
        <v>403.476</v>
      </c>
      <c r="BN219" t="str">
        <f>""</f>
        <v/>
      </c>
      <c r="BO219" t="str">
        <f>""</f>
        <v/>
      </c>
      <c r="BP219" t="str">
        <f>""</f>
        <v/>
      </c>
      <c r="BQ219" t="str">
        <f>""</f>
        <v/>
      </c>
      <c r="BR219" t="str">
        <f>""</f>
        <v/>
      </c>
      <c r="BS219" t="str">
        <f>""</f>
        <v/>
      </c>
      <c r="BT219" t="str">
        <f>""</f>
        <v/>
      </c>
      <c r="BU219" t="str">
        <f>""</f>
        <v/>
      </c>
      <c r="BV219" t="str">
        <f>""</f>
        <v/>
      </c>
      <c r="BW219" t="str">
        <f>""</f>
        <v/>
      </c>
      <c r="BX219" t="str">
        <f>""</f>
        <v/>
      </c>
      <c r="BY219" t="str">
        <f>""</f>
        <v/>
      </c>
      <c r="BZ219" t="str">
        <f>""</f>
        <v/>
      </c>
      <c r="CA219" t="str">
        <f>""</f>
        <v/>
      </c>
      <c r="CB219" t="str">
        <f>""</f>
        <v/>
      </c>
      <c r="CC219" t="str">
        <f>""</f>
        <v/>
      </c>
      <c r="CD219" t="str">
        <f>""</f>
        <v/>
      </c>
      <c r="CE219" t="str">
        <f>""</f>
        <v/>
      </c>
      <c r="CF219" t="str">
        <f>""</f>
        <v/>
      </c>
      <c r="CG219" t="str">
        <f>""</f>
        <v/>
      </c>
      <c r="CH219" t="str">
        <f>""</f>
        <v/>
      </c>
      <c r="CI219" t="str">
        <f>""</f>
        <v/>
      </c>
      <c r="CJ219" t="str">
        <f>""</f>
        <v/>
      </c>
      <c r="CK219" t="str">
        <f>""</f>
        <v/>
      </c>
      <c r="CL219" t="str">
        <f>""</f>
        <v/>
      </c>
      <c r="CM219" t="str">
        <f>""</f>
        <v/>
      </c>
      <c r="CN219" t="str">
        <f>""</f>
        <v/>
      </c>
      <c r="CO219" t="str">
        <f>""</f>
        <v/>
      </c>
      <c r="CP219" t="str">
        <f>""</f>
        <v/>
      </c>
      <c r="CQ219" t="str">
        <f>""</f>
        <v/>
      </c>
      <c r="CR219" t="str">
        <f>""</f>
        <v/>
      </c>
      <c r="CS219" t="str">
        <f>""</f>
        <v/>
      </c>
      <c r="CT219" t="str">
        <f>""</f>
        <v/>
      </c>
      <c r="CU219" t="str">
        <f>""</f>
        <v/>
      </c>
      <c r="CV219" t="str">
        <f>""</f>
        <v/>
      </c>
      <c r="CW219" t="str">
        <f>""</f>
        <v/>
      </c>
      <c r="CX219" t="str">
        <f>""</f>
        <v/>
      </c>
      <c r="CY219" t="str">
        <f>""</f>
        <v/>
      </c>
      <c r="CZ219" t="str">
        <f>""</f>
        <v/>
      </c>
      <c r="DA219" t="str">
        <f>""</f>
        <v/>
      </c>
      <c r="DB219" t="str">
        <f>""</f>
        <v/>
      </c>
      <c r="DC219" t="str">
        <f>""</f>
        <v/>
      </c>
      <c r="DD219" t="str">
        <f>""</f>
        <v/>
      </c>
      <c r="DE219" t="str">
        <f>""</f>
        <v/>
      </c>
      <c r="DF219" t="str">
        <f>""</f>
        <v/>
      </c>
      <c r="DG219" t="str">
        <f>""</f>
        <v/>
      </c>
      <c r="DH219" t="str">
        <f>""</f>
        <v/>
      </c>
      <c r="DI219" t="str">
        <f>""</f>
        <v/>
      </c>
      <c r="DJ219" t="str">
        <f>""</f>
        <v/>
      </c>
      <c r="DK219" t="str">
        <f>""</f>
        <v/>
      </c>
      <c r="DL219" t="str">
        <f>""</f>
        <v/>
      </c>
      <c r="DM219" t="str">
        <f>""</f>
        <v/>
      </c>
      <c r="DN219" t="str">
        <f>""</f>
        <v/>
      </c>
      <c r="DO219" t="str">
        <f>""</f>
        <v/>
      </c>
      <c r="DP219" t="str">
        <f>""</f>
        <v/>
      </c>
      <c r="DQ219" t="str">
        <f>""</f>
        <v/>
      </c>
      <c r="DR219" t="str">
        <f>""</f>
        <v/>
      </c>
      <c r="DS219" t="str">
        <f>""</f>
        <v/>
      </c>
      <c r="DT219" t="str">
        <f>""</f>
        <v/>
      </c>
      <c r="DU219" t="str">
        <f>""</f>
        <v/>
      </c>
    </row>
    <row r="220" spans="1:125" x14ac:dyDescent="0.25">
      <c r="A220" t="str">
        <f>$A$81</f>
        <v xml:space="preserve">            PNC Financial Services Group I</v>
      </c>
      <c r="B220" t="str">
        <f>$B$81</f>
        <v>PNC US Equity</v>
      </c>
      <c r="C220" t="str">
        <f>$C$81</f>
        <v>FC070</v>
      </c>
      <c r="D220" t="str">
        <f>$D$81</f>
        <v>FDIC_TRADING_ACCT_ASSETS</v>
      </c>
      <c r="E220" t="str">
        <f>$E$81</f>
        <v>Dynamic</v>
      </c>
      <c r="F220">
        <f ca="1">_xll.BDH($B$81,$C$81,$B$143,$B$144,CONCATENATE("Per=",$B$141),"Dts=H","Dir=H",CONCATENATE("Points=",$B$142),"Sort=R","Days=A","Fill=B",CONCATENATE("FX=", $B$140),"cols=60;rows=1")</f>
        <v>3646.3919999999998</v>
      </c>
      <c r="G220">
        <v>4170.7719999999999</v>
      </c>
      <c r="H220">
        <v>3279.3310000000001</v>
      </c>
      <c r="I220">
        <v>3406.6619999999998</v>
      </c>
      <c r="J220">
        <v>3726.415</v>
      </c>
      <c r="K220">
        <v>3581.5520000000001</v>
      </c>
      <c r="L220">
        <v>3368.17</v>
      </c>
      <c r="M220">
        <v>3343.9549999999999</v>
      </c>
      <c r="N220">
        <v>3482.895</v>
      </c>
      <c r="O220">
        <v>5119.9759999999997</v>
      </c>
      <c r="P220">
        <v>5480.8010000000004</v>
      </c>
      <c r="Q220">
        <v>6488.7870000000003</v>
      </c>
      <c r="R220">
        <v>5515.5320000000002</v>
      </c>
      <c r="S220">
        <v>7040.9719999999998</v>
      </c>
      <c r="T220">
        <v>6382.4830000000002</v>
      </c>
      <c r="U220">
        <v>5457.2269999999999</v>
      </c>
      <c r="V220">
        <v>7906.2920000000004</v>
      </c>
      <c r="W220">
        <v>7987.7550000000001</v>
      </c>
      <c r="X220">
        <v>9768.2849999999999</v>
      </c>
      <c r="Y220">
        <v>10905.172</v>
      </c>
      <c r="Z220">
        <v>6008.6360000000004</v>
      </c>
      <c r="AA220">
        <v>6700.6419999999998</v>
      </c>
      <c r="AB220">
        <v>5425.6880000000001</v>
      </c>
      <c r="AC220">
        <v>5281.3220000000001</v>
      </c>
      <c r="AD220">
        <v>5342.2250000000004</v>
      </c>
      <c r="AE220">
        <v>4815.875</v>
      </c>
      <c r="AF220">
        <v>4267.1559999999999</v>
      </c>
      <c r="AG220">
        <v>3750.9470000000001</v>
      </c>
      <c r="AH220">
        <v>4764.2380000000003</v>
      </c>
      <c r="AI220">
        <v>4309.46</v>
      </c>
      <c r="AJ220">
        <v>4757.0029999999997</v>
      </c>
      <c r="AK220">
        <v>4301.4489999999996</v>
      </c>
      <c r="AL220">
        <v>3919.2840000000001</v>
      </c>
      <c r="AM220">
        <v>4615.9549999999999</v>
      </c>
      <c r="AN220">
        <v>4193.3059999999996</v>
      </c>
      <c r="AO220">
        <v>3792.598</v>
      </c>
      <c r="AP220">
        <v>3353.81</v>
      </c>
      <c r="AQ220">
        <v>3930.7890000000002</v>
      </c>
      <c r="AR220">
        <v>4008.2449999999999</v>
      </c>
      <c r="AS220">
        <v>4201.8190000000004</v>
      </c>
      <c r="AT220">
        <v>4109.0519999999997</v>
      </c>
      <c r="AU220">
        <v>4132.7719999999999</v>
      </c>
      <c r="AV220">
        <v>3711.5520000000001</v>
      </c>
      <c r="AW220">
        <v>3744.3989999999999</v>
      </c>
      <c r="AX220">
        <v>4426.3850000000002</v>
      </c>
      <c r="AY220">
        <v>2883.942</v>
      </c>
      <c r="AZ220">
        <v>3174.6590000000001</v>
      </c>
      <c r="BA220">
        <v>3241.991</v>
      </c>
      <c r="BB220">
        <v>3037.0189999999998</v>
      </c>
      <c r="BC220">
        <v>2858.0309999999999</v>
      </c>
      <c r="BD220">
        <v>2403.5639999999999</v>
      </c>
      <c r="BE220">
        <v>2782.5279999999998</v>
      </c>
      <c r="BF220">
        <v>2703.8820000000001</v>
      </c>
      <c r="BG220">
        <v>4054.268</v>
      </c>
      <c r="BH220">
        <v>2152.3919999999998</v>
      </c>
      <c r="BI220">
        <v>2963.5430000000001</v>
      </c>
      <c r="BJ220">
        <v>2546.433</v>
      </c>
      <c r="BK220">
        <v>1800.422</v>
      </c>
      <c r="BL220">
        <v>2091.7730000000001</v>
      </c>
      <c r="BM220">
        <v>1844.846</v>
      </c>
      <c r="BN220" t="str">
        <f>""</f>
        <v/>
      </c>
      <c r="BO220" t="str">
        <f>""</f>
        <v/>
      </c>
      <c r="BP220" t="str">
        <f>""</f>
        <v/>
      </c>
      <c r="BQ220" t="str">
        <f>""</f>
        <v/>
      </c>
      <c r="BR220" t="str">
        <f>""</f>
        <v/>
      </c>
      <c r="BS220" t="str">
        <f>""</f>
        <v/>
      </c>
      <c r="BT220" t="str">
        <f>""</f>
        <v/>
      </c>
      <c r="BU220" t="str">
        <f>""</f>
        <v/>
      </c>
      <c r="BV220" t="str">
        <f>""</f>
        <v/>
      </c>
      <c r="BW220" t="str">
        <f>""</f>
        <v/>
      </c>
      <c r="BX220" t="str">
        <f>""</f>
        <v/>
      </c>
      <c r="BY220" t="str">
        <f>""</f>
        <v/>
      </c>
      <c r="BZ220" t="str">
        <f>""</f>
        <v/>
      </c>
      <c r="CA220" t="str">
        <f>""</f>
        <v/>
      </c>
      <c r="CB220" t="str">
        <f>""</f>
        <v/>
      </c>
      <c r="CC220" t="str">
        <f>""</f>
        <v/>
      </c>
      <c r="CD220" t="str">
        <f>""</f>
        <v/>
      </c>
      <c r="CE220" t="str">
        <f>""</f>
        <v/>
      </c>
      <c r="CF220" t="str">
        <f>""</f>
        <v/>
      </c>
      <c r="CG220" t="str">
        <f>""</f>
        <v/>
      </c>
      <c r="CH220" t="str">
        <f>""</f>
        <v/>
      </c>
      <c r="CI220" t="str">
        <f>""</f>
        <v/>
      </c>
      <c r="CJ220" t="str">
        <f>""</f>
        <v/>
      </c>
      <c r="CK220" t="str">
        <f>""</f>
        <v/>
      </c>
      <c r="CL220" t="str">
        <f>""</f>
        <v/>
      </c>
      <c r="CM220" t="str">
        <f>""</f>
        <v/>
      </c>
      <c r="CN220" t="str">
        <f>""</f>
        <v/>
      </c>
      <c r="CO220" t="str">
        <f>""</f>
        <v/>
      </c>
      <c r="CP220" t="str">
        <f>""</f>
        <v/>
      </c>
      <c r="CQ220" t="str">
        <f>""</f>
        <v/>
      </c>
      <c r="CR220" t="str">
        <f>""</f>
        <v/>
      </c>
      <c r="CS220" t="str">
        <f>""</f>
        <v/>
      </c>
      <c r="CT220" t="str">
        <f>""</f>
        <v/>
      </c>
      <c r="CU220" t="str">
        <f>""</f>
        <v/>
      </c>
      <c r="CV220" t="str">
        <f>""</f>
        <v/>
      </c>
      <c r="CW220" t="str">
        <f>""</f>
        <v/>
      </c>
      <c r="CX220" t="str">
        <f>""</f>
        <v/>
      </c>
      <c r="CY220" t="str">
        <f>""</f>
        <v/>
      </c>
      <c r="CZ220" t="str">
        <f>""</f>
        <v/>
      </c>
      <c r="DA220" t="str">
        <f>""</f>
        <v/>
      </c>
      <c r="DB220" t="str">
        <f>""</f>
        <v/>
      </c>
      <c r="DC220" t="str">
        <f>""</f>
        <v/>
      </c>
      <c r="DD220" t="str">
        <f>""</f>
        <v/>
      </c>
      <c r="DE220" t="str">
        <f>""</f>
        <v/>
      </c>
      <c r="DF220" t="str">
        <f>""</f>
        <v/>
      </c>
      <c r="DG220" t="str">
        <f>""</f>
        <v/>
      </c>
      <c r="DH220" t="str">
        <f>""</f>
        <v/>
      </c>
      <c r="DI220" t="str">
        <f>""</f>
        <v/>
      </c>
      <c r="DJ220" t="str">
        <f>""</f>
        <v/>
      </c>
      <c r="DK220" t="str">
        <f>""</f>
        <v/>
      </c>
      <c r="DL220" t="str">
        <f>""</f>
        <v/>
      </c>
      <c r="DM220" t="str">
        <f>""</f>
        <v/>
      </c>
      <c r="DN220" t="str">
        <f>""</f>
        <v/>
      </c>
      <c r="DO220" t="str">
        <f>""</f>
        <v/>
      </c>
      <c r="DP220" t="str">
        <f>""</f>
        <v/>
      </c>
      <c r="DQ220" t="str">
        <f>""</f>
        <v/>
      </c>
      <c r="DR220" t="str">
        <f>""</f>
        <v/>
      </c>
      <c r="DS220" t="str">
        <f>""</f>
        <v/>
      </c>
      <c r="DT220" t="str">
        <f>""</f>
        <v/>
      </c>
      <c r="DU220" t="str">
        <f>""</f>
        <v/>
      </c>
    </row>
    <row r="221" spans="1:125" x14ac:dyDescent="0.25">
      <c r="A221" t="str">
        <f>$A$82</f>
        <v xml:space="preserve">            Regions Financial Corp</v>
      </c>
      <c r="B221" t="str">
        <f>$B$82</f>
        <v>RF US Equity</v>
      </c>
      <c r="C221" t="str">
        <f>$C$82</f>
        <v>FC070</v>
      </c>
      <c r="D221" t="str">
        <f>$D$82</f>
        <v>FDIC_TRADING_ACCT_ASSETS</v>
      </c>
      <c r="E221" t="str">
        <f>$E$82</f>
        <v>Dynamic</v>
      </c>
      <c r="F221">
        <f ca="1">_xll.BDH($B$82,$C$82,$B$143,$B$144,CONCATENATE("Per=",$B$141),"Dts=H","Dir=H",CONCATENATE("Points=",$B$142),"Sort=R","Days=A","Fill=B",CONCATENATE("FX=", $B$140),"cols=60;rows=1")</f>
        <v>12</v>
      </c>
      <c r="G221">
        <v>7</v>
      </c>
      <c r="H221">
        <v>17</v>
      </c>
      <c r="I221">
        <v>27</v>
      </c>
      <c r="J221">
        <v>17</v>
      </c>
      <c r="K221">
        <v>22</v>
      </c>
      <c r="L221">
        <v>18</v>
      </c>
      <c r="M221">
        <v>19</v>
      </c>
      <c r="N221">
        <v>16</v>
      </c>
      <c r="O221">
        <v>5</v>
      </c>
      <c r="P221">
        <v>21</v>
      </c>
      <c r="Q221">
        <v>16</v>
      </c>
      <c r="R221">
        <v>13</v>
      </c>
      <c r="S221">
        <v>9</v>
      </c>
      <c r="T221">
        <v>16</v>
      </c>
      <c r="U221">
        <v>6</v>
      </c>
      <c r="V221">
        <v>854</v>
      </c>
      <c r="W221">
        <v>956</v>
      </c>
      <c r="X221">
        <v>1014</v>
      </c>
      <c r="Y221">
        <v>913</v>
      </c>
      <c r="Z221">
        <v>108</v>
      </c>
      <c r="AA221">
        <v>159</v>
      </c>
      <c r="AB221">
        <v>102</v>
      </c>
      <c r="AC221">
        <v>84</v>
      </c>
      <c r="AD221">
        <v>51.430999999999997</v>
      </c>
      <c r="AE221">
        <v>76.582999999999998</v>
      </c>
      <c r="AF221">
        <v>110.024</v>
      </c>
      <c r="AG221">
        <v>85.778999999999996</v>
      </c>
      <c r="AH221">
        <v>400.04399999999998</v>
      </c>
      <c r="AI221">
        <v>383.351</v>
      </c>
      <c r="AJ221">
        <v>381.37099999999998</v>
      </c>
      <c r="AK221">
        <v>348.60199999999998</v>
      </c>
      <c r="AL221">
        <v>373.685</v>
      </c>
      <c r="AM221">
        <v>361.15600000000001</v>
      </c>
      <c r="AN221">
        <v>346.96699999999998</v>
      </c>
      <c r="AO221">
        <v>393.959</v>
      </c>
      <c r="AP221">
        <v>382.07400000000001</v>
      </c>
      <c r="AQ221">
        <v>385.601</v>
      </c>
      <c r="AR221">
        <v>368.50299999999999</v>
      </c>
      <c r="AS221">
        <v>417.68400000000003</v>
      </c>
      <c r="AT221">
        <v>395.06700000000001</v>
      </c>
      <c r="AU221">
        <v>412.69299999999998</v>
      </c>
      <c r="AV221">
        <v>510.00599999999997</v>
      </c>
      <c r="AW221">
        <v>504.88799999999998</v>
      </c>
      <c r="AX221">
        <v>509.84399999999999</v>
      </c>
      <c r="AY221">
        <v>549.59299999999996</v>
      </c>
      <c r="AZ221">
        <v>533.44399999999996</v>
      </c>
      <c r="BA221">
        <v>566.07600000000002</v>
      </c>
      <c r="BB221">
        <v>696.81299999999999</v>
      </c>
      <c r="BC221">
        <v>742.86199999999997</v>
      </c>
      <c r="BD221">
        <v>777.33500000000004</v>
      </c>
      <c r="BE221">
        <v>1988.665</v>
      </c>
      <c r="BF221">
        <v>2268.9189999999999</v>
      </c>
      <c r="BG221">
        <v>2340.8719999999998</v>
      </c>
      <c r="BH221">
        <v>2040.318</v>
      </c>
      <c r="BI221">
        <v>2029.347</v>
      </c>
      <c r="BJ221">
        <v>1977.6089999999999</v>
      </c>
      <c r="BK221">
        <v>2626.85</v>
      </c>
      <c r="BL221">
        <v>2106.04</v>
      </c>
      <c r="BM221">
        <v>1904.5419999999999</v>
      </c>
      <c r="BN221" t="str">
        <f>""</f>
        <v/>
      </c>
      <c r="BO221" t="str">
        <f>""</f>
        <v/>
      </c>
      <c r="BP221" t="str">
        <f>""</f>
        <v/>
      </c>
      <c r="BQ221" t="str">
        <f>""</f>
        <v/>
      </c>
      <c r="BR221" t="str">
        <f>""</f>
        <v/>
      </c>
      <c r="BS221" t="str">
        <f>""</f>
        <v/>
      </c>
      <c r="BT221" t="str">
        <f>""</f>
        <v/>
      </c>
      <c r="BU221" t="str">
        <f>""</f>
        <v/>
      </c>
      <c r="BV221" t="str">
        <f>""</f>
        <v/>
      </c>
      <c r="BW221" t="str">
        <f>""</f>
        <v/>
      </c>
      <c r="BX221" t="str">
        <f>""</f>
        <v/>
      </c>
      <c r="BY221" t="str">
        <f>""</f>
        <v/>
      </c>
      <c r="BZ221" t="str">
        <f>""</f>
        <v/>
      </c>
      <c r="CA221" t="str">
        <f>""</f>
        <v/>
      </c>
      <c r="CB221" t="str">
        <f>""</f>
        <v/>
      </c>
      <c r="CC221" t="str">
        <f>""</f>
        <v/>
      </c>
      <c r="CD221" t="str">
        <f>""</f>
        <v/>
      </c>
      <c r="CE221" t="str">
        <f>""</f>
        <v/>
      </c>
      <c r="CF221" t="str">
        <f>""</f>
        <v/>
      </c>
      <c r="CG221" t="str">
        <f>""</f>
        <v/>
      </c>
      <c r="CH221" t="str">
        <f>""</f>
        <v/>
      </c>
      <c r="CI221" t="str">
        <f>""</f>
        <v/>
      </c>
      <c r="CJ221" t="str">
        <f>""</f>
        <v/>
      </c>
      <c r="CK221" t="str">
        <f>""</f>
        <v/>
      </c>
      <c r="CL221" t="str">
        <f>""</f>
        <v/>
      </c>
      <c r="CM221" t="str">
        <f>""</f>
        <v/>
      </c>
      <c r="CN221" t="str">
        <f>""</f>
        <v/>
      </c>
      <c r="CO221" t="str">
        <f>""</f>
        <v/>
      </c>
      <c r="CP221" t="str">
        <f>""</f>
        <v/>
      </c>
      <c r="CQ221" t="str">
        <f>""</f>
        <v/>
      </c>
      <c r="CR221" t="str">
        <f>""</f>
        <v/>
      </c>
      <c r="CS221" t="str">
        <f>""</f>
        <v/>
      </c>
      <c r="CT221" t="str">
        <f>""</f>
        <v/>
      </c>
      <c r="CU221" t="str">
        <f>""</f>
        <v/>
      </c>
      <c r="CV221" t="str">
        <f>""</f>
        <v/>
      </c>
      <c r="CW221" t="str">
        <f>""</f>
        <v/>
      </c>
      <c r="CX221" t="str">
        <f>""</f>
        <v/>
      </c>
      <c r="CY221" t="str">
        <f>""</f>
        <v/>
      </c>
      <c r="CZ221" t="str">
        <f>""</f>
        <v/>
      </c>
      <c r="DA221" t="str">
        <f>""</f>
        <v/>
      </c>
      <c r="DB221" t="str">
        <f>""</f>
        <v/>
      </c>
      <c r="DC221" t="str">
        <f>""</f>
        <v/>
      </c>
      <c r="DD221" t="str">
        <f>""</f>
        <v/>
      </c>
      <c r="DE221" t="str">
        <f>""</f>
        <v/>
      </c>
      <c r="DF221" t="str">
        <f>""</f>
        <v/>
      </c>
      <c r="DG221" t="str">
        <f>""</f>
        <v/>
      </c>
      <c r="DH221" t="str">
        <f>""</f>
        <v/>
      </c>
      <c r="DI221" t="str">
        <f>""</f>
        <v/>
      </c>
      <c r="DJ221" t="str">
        <f>""</f>
        <v/>
      </c>
      <c r="DK221" t="str">
        <f>""</f>
        <v/>
      </c>
      <c r="DL221" t="str">
        <f>""</f>
        <v/>
      </c>
      <c r="DM221" t="str">
        <f>""</f>
        <v/>
      </c>
      <c r="DN221" t="str">
        <f>""</f>
        <v/>
      </c>
      <c r="DO221" t="str">
        <f>""</f>
        <v/>
      </c>
      <c r="DP221" t="str">
        <f>""</f>
        <v/>
      </c>
      <c r="DQ221" t="str">
        <f>""</f>
        <v/>
      </c>
      <c r="DR221" t="str">
        <f>""</f>
        <v/>
      </c>
      <c r="DS221" t="str">
        <f>""</f>
        <v/>
      </c>
      <c r="DT221" t="str">
        <f>""</f>
        <v/>
      </c>
      <c r="DU221" t="str">
        <f>""</f>
        <v/>
      </c>
    </row>
    <row r="222" spans="1:125" x14ac:dyDescent="0.25">
      <c r="A222" t="str">
        <f>$A$83</f>
        <v xml:space="preserve">            Truist Financial Corp</v>
      </c>
      <c r="B222" t="str">
        <f>$B$83</f>
        <v>TFC US Equity</v>
      </c>
      <c r="C222" t="str">
        <f>$C$83</f>
        <v>FC070</v>
      </c>
      <c r="D222" t="str">
        <f>$D$83</f>
        <v>FDIC_TRADING_ACCT_ASSETS</v>
      </c>
      <c r="E222" t="str">
        <f>$E$83</f>
        <v>Dynamic</v>
      </c>
      <c r="F222">
        <f ca="1">_xll.BDH($B$83,$C$83,$B$143,$B$144,CONCATENATE("Per=",$B$141),"Dts=H","Dir=H",CONCATENATE("Points=",$B$142),"Sort=R","Days=A","Fill=B",CONCATENATE("FX=", $B$140),"cols=60;rows=1")</f>
        <v>6042</v>
      </c>
      <c r="G222">
        <v>6546</v>
      </c>
      <c r="H222">
        <v>6642</v>
      </c>
      <c r="I222">
        <v>6352</v>
      </c>
      <c r="J222">
        <v>5274</v>
      </c>
      <c r="K222">
        <v>5064</v>
      </c>
      <c r="L222">
        <v>4883</v>
      </c>
      <c r="M222">
        <v>5282</v>
      </c>
      <c r="N222">
        <v>5558</v>
      </c>
      <c r="O222">
        <v>6858</v>
      </c>
      <c r="P222">
        <v>6576</v>
      </c>
      <c r="Q222">
        <v>7870</v>
      </c>
      <c r="R222">
        <v>6751</v>
      </c>
      <c r="S222">
        <v>9846</v>
      </c>
      <c r="T222">
        <v>9052</v>
      </c>
      <c r="U222">
        <v>7779</v>
      </c>
      <c r="V222">
        <v>7510</v>
      </c>
      <c r="W222">
        <v>8478</v>
      </c>
      <c r="X222">
        <v>7809</v>
      </c>
      <c r="Y222">
        <v>7711</v>
      </c>
      <c r="Z222">
        <v>7732</v>
      </c>
      <c r="AA222">
        <v>1059</v>
      </c>
      <c r="AB222">
        <v>1906</v>
      </c>
      <c r="AC222">
        <v>1777</v>
      </c>
      <c r="AD222">
        <v>554</v>
      </c>
      <c r="AE222">
        <v>769</v>
      </c>
      <c r="AF222">
        <v>544</v>
      </c>
      <c r="AG222">
        <v>359</v>
      </c>
      <c r="AH222">
        <v>842</v>
      </c>
      <c r="AI222">
        <v>1336</v>
      </c>
      <c r="AJ222">
        <v>1666</v>
      </c>
      <c r="AK222">
        <v>1661.0450000000001</v>
      </c>
      <c r="AL222">
        <v>1066.4949999999999</v>
      </c>
      <c r="AM222">
        <v>1519.0920000000001</v>
      </c>
      <c r="AN222">
        <v>1193.4079999999999</v>
      </c>
      <c r="AO222">
        <v>1980.327</v>
      </c>
      <c r="AP222">
        <v>1532.4290000000001</v>
      </c>
      <c r="AQ222">
        <v>1260.3869999999999</v>
      </c>
      <c r="AR222">
        <v>1062.9970000000001</v>
      </c>
      <c r="AS222">
        <v>1293.008</v>
      </c>
      <c r="AT222">
        <v>855.59100000000001</v>
      </c>
      <c r="AU222">
        <v>828.35500000000002</v>
      </c>
      <c r="AV222">
        <v>852.702</v>
      </c>
      <c r="AW222">
        <v>910.85500000000002</v>
      </c>
      <c r="AX222">
        <v>791.43200000000002</v>
      </c>
      <c r="AY222">
        <v>980.779</v>
      </c>
      <c r="AZ222">
        <v>1016.549</v>
      </c>
      <c r="BA222">
        <v>1266.442</v>
      </c>
      <c r="BB222">
        <v>1211.7470000000001</v>
      </c>
      <c r="BC222">
        <v>1355.355</v>
      </c>
      <c r="BD222">
        <v>1298.0039999999999</v>
      </c>
      <c r="BE222">
        <v>1273.538</v>
      </c>
      <c r="BF222">
        <v>1280.818</v>
      </c>
      <c r="BG222">
        <v>1188.5989999999999</v>
      </c>
      <c r="BH222">
        <v>1107.5060000000001</v>
      </c>
      <c r="BI222">
        <v>1199.43</v>
      </c>
      <c r="BJ222">
        <v>1178.92</v>
      </c>
      <c r="BK222">
        <v>1340.7449999999999</v>
      </c>
      <c r="BL222">
        <v>1231.133</v>
      </c>
      <c r="BM222">
        <v>1139.1759999999999</v>
      </c>
      <c r="BN222" t="str">
        <f>""</f>
        <v/>
      </c>
      <c r="BO222" t="str">
        <f>""</f>
        <v/>
      </c>
      <c r="BP222" t="str">
        <f>""</f>
        <v/>
      </c>
      <c r="BQ222" t="str">
        <f>""</f>
        <v/>
      </c>
      <c r="BR222" t="str">
        <f>""</f>
        <v/>
      </c>
      <c r="BS222" t="str">
        <f>""</f>
        <v/>
      </c>
      <c r="BT222" t="str">
        <f>""</f>
        <v/>
      </c>
      <c r="BU222" t="str">
        <f>""</f>
        <v/>
      </c>
      <c r="BV222" t="str">
        <f>""</f>
        <v/>
      </c>
      <c r="BW222" t="str">
        <f>""</f>
        <v/>
      </c>
      <c r="BX222" t="str">
        <f>""</f>
        <v/>
      </c>
      <c r="BY222" t="str">
        <f>""</f>
        <v/>
      </c>
      <c r="BZ222" t="str">
        <f>""</f>
        <v/>
      </c>
      <c r="CA222" t="str">
        <f>""</f>
        <v/>
      </c>
      <c r="CB222" t="str">
        <f>""</f>
        <v/>
      </c>
      <c r="CC222" t="str">
        <f>""</f>
        <v/>
      </c>
      <c r="CD222" t="str">
        <f>""</f>
        <v/>
      </c>
      <c r="CE222" t="str">
        <f>""</f>
        <v/>
      </c>
      <c r="CF222" t="str">
        <f>""</f>
        <v/>
      </c>
      <c r="CG222" t="str">
        <f>""</f>
        <v/>
      </c>
      <c r="CH222" t="str">
        <f>""</f>
        <v/>
      </c>
      <c r="CI222" t="str">
        <f>""</f>
        <v/>
      </c>
      <c r="CJ222" t="str">
        <f>""</f>
        <v/>
      </c>
      <c r="CK222" t="str">
        <f>""</f>
        <v/>
      </c>
      <c r="CL222" t="str">
        <f>""</f>
        <v/>
      </c>
      <c r="CM222" t="str">
        <f>""</f>
        <v/>
      </c>
      <c r="CN222" t="str">
        <f>""</f>
        <v/>
      </c>
      <c r="CO222" t="str">
        <f>""</f>
        <v/>
      </c>
      <c r="CP222" t="str">
        <f>""</f>
        <v/>
      </c>
      <c r="CQ222" t="str">
        <f>""</f>
        <v/>
      </c>
      <c r="CR222" t="str">
        <f>""</f>
        <v/>
      </c>
      <c r="CS222" t="str">
        <f>""</f>
        <v/>
      </c>
      <c r="CT222" t="str">
        <f>""</f>
        <v/>
      </c>
      <c r="CU222" t="str">
        <f>""</f>
        <v/>
      </c>
      <c r="CV222" t="str">
        <f>""</f>
        <v/>
      </c>
      <c r="CW222" t="str">
        <f>""</f>
        <v/>
      </c>
      <c r="CX222" t="str">
        <f>""</f>
        <v/>
      </c>
      <c r="CY222" t="str">
        <f>""</f>
        <v/>
      </c>
      <c r="CZ222" t="str">
        <f>""</f>
        <v/>
      </c>
      <c r="DA222" t="str">
        <f>""</f>
        <v/>
      </c>
      <c r="DB222" t="str">
        <f>""</f>
        <v/>
      </c>
      <c r="DC222" t="str">
        <f>""</f>
        <v/>
      </c>
      <c r="DD222" t="str">
        <f>""</f>
        <v/>
      </c>
      <c r="DE222" t="str">
        <f>""</f>
        <v/>
      </c>
      <c r="DF222" t="str">
        <f>""</f>
        <v/>
      </c>
      <c r="DG222" t="str">
        <f>""</f>
        <v/>
      </c>
      <c r="DH222" t="str">
        <f>""</f>
        <v/>
      </c>
      <c r="DI222" t="str">
        <f>""</f>
        <v/>
      </c>
      <c r="DJ222" t="str">
        <f>""</f>
        <v/>
      </c>
      <c r="DK222" t="str">
        <f>""</f>
        <v/>
      </c>
      <c r="DL222" t="str">
        <f>""</f>
        <v/>
      </c>
      <c r="DM222" t="str">
        <f>""</f>
        <v/>
      </c>
      <c r="DN222" t="str">
        <f>""</f>
        <v/>
      </c>
      <c r="DO222" t="str">
        <f>""</f>
        <v/>
      </c>
      <c r="DP222" t="str">
        <f>""</f>
        <v/>
      </c>
      <c r="DQ222" t="str">
        <f>""</f>
        <v/>
      </c>
      <c r="DR222" t="str">
        <f>""</f>
        <v/>
      </c>
      <c r="DS222" t="str">
        <f>""</f>
        <v/>
      </c>
      <c r="DT222" t="str">
        <f>""</f>
        <v/>
      </c>
      <c r="DU222" t="str">
        <f>""</f>
        <v/>
      </c>
    </row>
    <row r="223" spans="1:125" x14ac:dyDescent="0.25">
      <c r="A223" t="str">
        <f>$A$84</f>
        <v xml:space="preserve">            US Bancorp</v>
      </c>
      <c r="B223" t="str">
        <f>$B$84</f>
        <v>USB US Equity</v>
      </c>
      <c r="C223" t="str">
        <f>$C$84</f>
        <v>FC070</v>
      </c>
      <c r="D223" t="str">
        <f>$D$84</f>
        <v>FDIC_TRADING_ACCT_ASSETS</v>
      </c>
      <c r="E223" t="str">
        <f>$E$84</f>
        <v>Dynamic</v>
      </c>
      <c r="F223">
        <f ca="1">_xll.BDH($B$84,$C$84,$B$143,$B$144,CONCATENATE("Per=",$B$141),"Dts=H","Dir=H",CONCATENATE("Points=",$B$142),"Sort=R","Days=A","Fill=B",CONCATENATE("FX=", $B$140),"cols=60;rows=1")</f>
        <v>5599</v>
      </c>
      <c r="G223">
        <v>6057</v>
      </c>
      <c r="H223">
        <v>5305</v>
      </c>
      <c r="I223">
        <v>5245</v>
      </c>
      <c r="J223">
        <v>5309</v>
      </c>
      <c r="K223">
        <v>5263</v>
      </c>
      <c r="L223">
        <v>6268</v>
      </c>
      <c r="M223">
        <v>5278</v>
      </c>
      <c r="N223">
        <v>4383</v>
      </c>
      <c r="O223">
        <v>4704</v>
      </c>
      <c r="P223">
        <v>3836</v>
      </c>
      <c r="Q223">
        <v>3750</v>
      </c>
      <c r="R223">
        <v>4398</v>
      </c>
      <c r="S223">
        <v>4775</v>
      </c>
      <c r="T223">
        <v>4915</v>
      </c>
      <c r="U223">
        <v>4727</v>
      </c>
      <c r="V223">
        <v>5744</v>
      </c>
      <c r="W223">
        <v>5753</v>
      </c>
      <c r="X223">
        <v>5879</v>
      </c>
      <c r="Y223">
        <v>7027</v>
      </c>
      <c r="Z223">
        <v>3702</v>
      </c>
      <c r="AA223">
        <v>4586</v>
      </c>
      <c r="AB223">
        <v>3526</v>
      </c>
      <c r="AC223">
        <v>3073</v>
      </c>
      <c r="AD223">
        <v>2662</v>
      </c>
      <c r="AE223">
        <v>2592</v>
      </c>
      <c r="AF223">
        <v>2436</v>
      </c>
      <c r="AG223">
        <v>2919</v>
      </c>
      <c r="AH223">
        <v>3078</v>
      </c>
      <c r="AI223">
        <v>3204</v>
      </c>
      <c r="AJ223">
        <v>3041</v>
      </c>
      <c r="AK223">
        <v>3160</v>
      </c>
      <c r="AL223">
        <v>3027</v>
      </c>
      <c r="AM223">
        <v>4166</v>
      </c>
      <c r="AN223">
        <v>3897</v>
      </c>
      <c r="AO223">
        <v>3091</v>
      </c>
      <c r="AP223">
        <v>2129</v>
      </c>
      <c r="AQ223">
        <v>2525</v>
      </c>
      <c r="AR223">
        <v>2225</v>
      </c>
      <c r="AS223">
        <v>2604</v>
      </c>
      <c r="AT223">
        <v>1957</v>
      </c>
      <c r="AU223">
        <v>1946</v>
      </c>
      <c r="AV223">
        <v>1698</v>
      </c>
      <c r="AW223">
        <v>1733</v>
      </c>
      <c r="AX223">
        <v>1434</v>
      </c>
      <c r="AY223">
        <v>1812</v>
      </c>
      <c r="AZ223">
        <v>1833</v>
      </c>
      <c r="BA223">
        <v>1976</v>
      </c>
      <c r="BB223">
        <v>1605</v>
      </c>
      <c r="BC223">
        <v>2025</v>
      </c>
      <c r="BD223">
        <v>1982</v>
      </c>
      <c r="BE223">
        <v>1957</v>
      </c>
      <c r="BF223">
        <v>2001</v>
      </c>
      <c r="BG223">
        <v>2457</v>
      </c>
      <c r="BH223">
        <v>1989</v>
      </c>
      <c r="BI223">
        <v>1682</v>
      </c>
      <c r="BJ223">
        <v>1701</v>
      </c>
      <c r="BK223">
        <v>2127</v>
      </c>
      <c r="BL223">
        <v>1846</v>
      </c>
      <c r="BM223">
        <v>1298</v>
      </c>
      <c r="BN223" t="str">
        <f>""</f>
        <v/>
      </c>
      <c r="BO223" t="str">
        <f>""</f>
        <v/>
      </c>
      <c r="BP223" t="str">
        <f>""</f>
        <v/>
      </c>
      <c r="BQ223" t="str">
        <f>""</f>
        <v/>
      </c>
      <c r="BR223" t="str">
        <f>""</f>
        <v/>
      </c>
      <c r="BS223" t="str">
        <f>""</f>
        <v/>
      </c>
      <c r="BT223" t="str">
        <f>""</f>
        <v/>
      </c>
      <c r="BU223" t="str">
        <f>""</f>
        <v/>
      </c>
      <c r="BV223" t="str">
        <f>""</f>
        <v/>
      </c>
      <c r="BW223" t="str">
        <f>""</f>
        <v/>
      </c>
      <c r="BX223" t="str">
        <f>""</f>
        <v/>
      </c>
      <c r="BY223" t="str">
        <f>""</f>
        <v/>
      </c>
      <c r="BZ223" t="str">
        <f>""</f>
        <v/>
      </c>
      <c r="CA223" t="str">
        <f>""</f>
        <v/>
      </c>
      <c r="CB223" t="str">
        <f>""</f>
        <v/>
      </c>
      <c r="CC223" t="str">
        <f>""</f>
        <v/>
      </c>
      <c r="CD223" t="str">
        <f>""</f>
        <v/>
      </c>
      <c r="CE223" t="str">
        <f>""</f>
        <v/>
      </c>
      <c r="CF223" t="str">
        <f>""</f>
        <v/>
      </c>
      <c r="CG223" t="str">
        <f>""</f>
        <v/>
      </c>
      <c r="CH223" t="str">
        <f>""</f>
        <v/>
      </c>
      <c r="CI223" t="str">
        <f>""</f>
        <v/>
      </c>
      <c r="CJ223" t="str">
        <f>""</f>
        <v/>
      </c>
      <c r="CK223" t="str">
        <f>""</f>
        <v/>
      </c>
      <c r="CL223" t="str">
        <f>""</f>
        <v/>
      </c>
      <c r="CM223" t="str">
        <f>""</f>
        <v/>
      </c>
      <c r="CN223" t="str">
        <f>""</f>
        <v/>
      </c>
      <c r="CO223" t="str">
        <f>""</f>
        <v/>
      </c>
      <c r="CP223" t="str">
        <f>""</f>
        <v/>
      </c>
      <c r="CQ223" t="str">
        <f>""</f>
        <v/>
      </c>
      <c r="CR223" t="str">
        <f>""</f>
        <v/>
      </c>
      <c r="CS223" t="str">
        <f>""</f>
        <v/>
      </c>
      <c r="CT223" t="str">
        <f>""</f>
        <v/>
      </c>
      <c r="CU223" t="str">
        <f>""</f>
        <v/>
      </c>
      <c r="CV223" t="str">
        <f>""</f>
        <v/>
      </c>
      <c r="CW223" t="str">
        <f>""</f>
        <v/>
      </c>
      <c r="CX223" t="str">
        <f>""</f>
        <v/>
      </c>
      <c r="CY223" t="str">
        <f>""</f>
        <v/>
      </c>
      <c r="CZ223" t="str">
        <f>""</f>
        <v/>
      </c>
      <c r="DA223" t="str">
        <f>""</f>
        <v/>
      </c>
      <c r="DB223" t="str">
        <f>""</f>
        <v/>
      </c>
      <c r="DC223" t="str">
        <f>""</f>
        <v/>
      </c>
      <c r="DD223" t="str">
        <f>""</f>
        <v/>
      </c>
      <c r="DE223" t="str">
        <f>""</f>
        <v/>
      </c>
      <c r="DF223" t="str">
        <f>""</f>
        <v/>
      </c>
      <c r="DG223" t="str">
        <f>""</f>
        <v/>
      </c>
      <c r="DH223" t="str">
        <f>""</f>
        <v/>
      </c>
      <c r="DI223" t="str">
        <f>""</f>
        <v/>
      </c>
      <c r="DJ223" t="str">
        <f>""</f>
        <v/>
      </c>
      <c r="DK223" t="str">
        <f>""</f>
        <v/>
      </c>
      <c r="DL223" t="str">
        <f>""</f>
        <v/>
      </c>
      <c r="DM223" t="str">
        <f>""</f>
        <v/>
      </c>
      <c r="DN223" t="str">
        <f>""</f>
        <v/>
      </c>
      <c r="DO223" t="str">
        <f>""</f>
        <v/>
      </c>
      <c r="DP223" t="str">
        <f>""</f>
        <v/>
      </c>
      <c r="DQ223" t="str">
        <f>""</f>
        <v/>
      </c>
      <c r="DR223" t="str">
        <f>""</f>
        <v/>
      </c>
      <c r="DS223" t="str">
        <f>""</f>
        <v/>
      </c>
      <c r="DT223" t="str">
        <f>""</f>
        <v/>
      </c>
      <c r="DU223" t="str">
        <f>""</f>
        <v/>
      </c>
    </row>
    <row r="224" spans="1:125" x14ac:dyDescent="0.25">
      <c r="A224" t="str">
        <f>$A$85</f>
        <v xml:space="preserve">            Wells Fargo &amp; Co</v>
      </c>
      <c r="B224" t="str">
        <f>$B$85</f>
        <v>WFC US Equity</v>
      </c>
      <c r="C224" t="str">
        <f>$C$85</f>
        <v>FC070</v>
      </c>
      <c r="D224" t="str">
        <f>$D$85</f>
        <v>FDIC_TRADING_ACCT_ASSETS</v>
      </c>
      <c r="E224" t="str">
        <f>$E$85</f>
        <v>Dynamic</v>
      </c>
      <c r="F224">
        <f ca="1">_xll.BDH($B$85,$C$85,$B$143,$B$144,CONCATENATE("Per=",$B$141),"Dts=H","Dir=H",CONCATENATE("Points=",$B$142),"Sort=R","Days=A","Fill=B",CONCATENATE("FX=", $B$140),"cols=60;rows=1")</f>
        <v>163832</v>
      </c>
      <c r="G224">
        <v>163144</v>
      </c>
      <c r="H224">
        <v>163448</v>
      </c>
      <c r="I224">
        <v>148459</v>
      </c>
      <c r="J224">
        <v>135464</v>
      </c>
      <c r="K224">
        <v>137594</v>
      </c>
      <c r="L224">
        <v>146271</v>
      </c>
      <c r="M224">
        <v>131457</v>
      </c>
      <c r="N224">
        <v>136757</v>
      </c>
      <c r="O224">
        <v>137656</v>
      </c>
      <c r="P224">
        <v>140616</v>
      </c>
      <c r="Q224">
        <v>151101</v>
      </c>
      <c r="R224">
        <v>139162</v>
      </c>
      <c r="S224">
        <v>147212</v>
      </c>
      <c r="T224">
        <v>132611</v>
      </c>
      <c r="U224">
        <v>119381</v>
      </c>
      <c r="V224">
        <v>123607</v>
      </c>
      <c r="W224">
        <v>111327</v>
      </c>
      <c r="X224">
        <v>109230</v>
      </c>
      <c r="Y224">
        <v>118377</v>
      </c>
      <c r="Z224">
        <v>121507</v>
      </c>
      <c r="AA224">
        <v>118562</v>
      </c>
      <c r="AB224">
        <v>106509</v>
      </c>
      <c r="AC224">
        <v>101502</v>
      </c>
      <c r="AD224">
        <v>100315</v>
      </c>
      <c r="AE224">
        <v>103706</v>
      </c>
      <c r="AF224">
        <v>100001</v>
      </c>
      <c r="AG224">
        <v>97420</v>
      </c>
      <c r="AH224">
        <v>104040</v>
      </c>
      <c r="AI224">
        <v>100575</v>
      </c>
      <c r="AJ224">
        <v>95768</v>
      </c>
      <c r="AK224">
        <v>91636</v>
      </c>
      <c r="AL224">
        <v>86619</v>
      </c>
      <c r="AM224">
        <v>85946</v>
      </c>
      <c r="AN224">
        <v>80093</v>
      </c>
      <c r="AO224">
        <v>73158</v>
      </c>
      <c r="AP224">
        <v>77202</v>
      </c>
      <c r="AQ224">
        <v>73894</v>
      </c>
      <c r="AR224">
        <v>80236</v>
      </c>
      <c r="AS224">
        <v>79278</v>
      </c>
      <c r="AT224">
        <v>78255</v>
      </c>
      <c r="AU224">
        <v>67755</v>
      </c>
      <c r="AV224">
        <v>71674</v>
      </c>
      <c r="AW224">
        <v>63753</v>
      </c>
      <c r="AX224">
        <v>62813</v>
      </c>
      <c r="AY224">
        <v>60203</v>
      </c>
      <c r="AZ224">
        <v>58619</v>
      </c>
      <c r="BA224">
        <v>62274</v>
      </c>
      <c r="BB224">
        <v>57482</v>
      </c>
      <c r="BC224">
        <v>60592</v>
      </c>
      <c r="BD224">
        <v>64419</v>
      </c>
      <c r="BE224">
        <v>75696</v>
      </c>
      <c r="BF224">
        <v>77814</v>
      </c>
      <c r="BG224">
        <v>57786</v>
      </c>
      <c r="BH224">
        <v>54770</v>
      </c>
      <c r="BI224">
        <v>57890</v>
      </c>
      <c r="BJ224">
        <v>51414</v>
      </c>
      <c r="BK224">
        <v>49271</v>
      </c>
      <c r="BL224">
        <v>47132</v>
      </c>
      <c r="BM224">
        <v>47028</v>
      </c>
      <c r="BN224" t="str">
        <f>""</f>
        <v/>
      </c>
      <c r="BO224" t="str">
        <f>""</f>
        <v/>
      </c>
      <c r="BP224" t="str">
        <f>""</f>
        <v/>
      </c>
      <c r="BQ224" t="str">
        <f>""</f>
        <v/>
      </c>
      <c r="BR224" t="str">
        <f>""</f>
        <v/>
      </c>
      <c r="BS224" t="str">
        <f>""</f>
        <v/>
      </c>
      <c r="BT224" t="str">
        <f>""</f>
        <v/>
      </c>
      <c r="BU224" t="str">
        <f>""</f>
        <v/>
      </c>
      <c r="BV224" t="str">
        <f>""</f>
        <v/>
      </c>
      <c r="BW224" t="str">
        <f>""</f>
        <v/>
      </c>
      <c r="BX224" t="str">
        <f>""</f>
        <v/>
      </c>
      <c r="BY224" t="str">
        <f>""</f>
        <v/>
      </c>
      <c r="BZ224" t="str">
        <f>""</f>
        <v/>
      </c>
      <c r="CA224" t="str">
        <f>""</f>
        <v/>
      </c>
      <c r="CB224" t="str">
        <f>""</f>
        <v/>
      </c>
      <c r="CC224" t="str">
        <f>""</f>
        <v/>
      </c>
      <c r="CD224" t="str">
        <f>""</f>
        <v/>
      </c>
      <c r="CE224" t="str">
        <f>""</f>
        <v/>
      </c>
      <c r="CF224" t="str">
        <f>""</f>
        <v/>
      </c>
      <c r="CG224" t="str">
        <f>""</f>
        <v/>
      </c>
      <c r="CH224" t="str">
        <f>""</f>
        <v/>
      </c>
      <c r="CI224" t="str">
        <f>""</f>
        <v/>
      </c>
      <c r="CJ224" t="str">
        <f>""</f>
        <v/>
      </c>
      <c r="CK224" t="str">
        <f>""</f>
        <v/>
      </c>
      <c r="CL224" t="str">
        <f>""</f>
        <v/>
      </c>
      <c r="CM224" t="str">
        <f>""</f>
        <v/>
      </c>
      <c r="CN224" t="str">
        <f>""</f>
        <v/>
      </c>
      <c r="CO224" t="str">
        <f>""</f>
        <v/>
      </c>
      <c r="CP224" t="str">
        <f>""</f>
        <v/>
      </c>
      <c r="CQ224" t="str">
        <f>""</f>
        <v/>
      </c>
      <c r="CR224" t="str">
        <f>""</f>
        <v/>
      </c>
      <c r="CS224" t="str">
        <f>""</f>
        <v/>
      </c>
      <c r="CT224" t="str">
        <f>""</f>
        <v/>
      </c>
      <c r="CU224" t="str">
        <f>""</f>
        <v/>
      </c>
      <c r="CV224" t="str">
        <f>""</f>
        <v/>
      </c>
      <c r="CW224" t="str">
        <f>""</f>
        <v/>
      </c>
      <c r="CX224" t="str">
        <f>""</f>
        <v/>
      </c>
      <c r="CY224" t="str">
        <f>""</f>
        <v/>
      </c>
      <c r="CZ224" t="str">
        <f>""</f>
        <v/>
      </c>
      <c r="DA224" t="str">
        <f>""</f>
        <v/>
      </c>
      <c r="DB224" t="str">
        <f>""</f>
        <v/>
      </c>
      <c r="DC224" t="str">
        <f>""</f>
        <v/>
      </c>
      <c r="DD224" t="str">
        <f>""</f>
        <v/>
      </c>
      <c r="DE224" t="str">
        <f>""</f>
        <v/>
      </c>
      <c r="DF224" t="str">
        <f>""</f>
        <v/>
      </c>
      <c r="DG224" t="str">
        <f>""</f>
        <v/>
      </c>
      <c r="DH224" t="str">
        <f>""</f>
        <v/>
      </c>
      <c r="DI224" t="str">
        <f>""</f>
        <v/>
      </c>
      <c r="DJ224" t="str">
        <f>""</f>
        <v/>
      </c>
      <c r="DK224" t="str">
        <f>""</f>
        <v/>
      </c>
      <c r="DL224" t="str">
        <f>""</f>
        <v/>
      </c>
      <c r="DM224" t="str">
        <f>""</f>
        <v/>
      </c>
      <c r="DN224" t="str">
        <f>""</f>
        <v/>
      </c>
      <c r="DO224" t="str">
        <f>""</f>
        <v/>
      </c>
      <c r="DP224" t="str">
        <f>""</f>
        <v/>
      </c>
      <c r="DQ224" t="str">
        <f>""</f>
        <v/>
      </c>
      <c r="DR224" t="str">
        <f>""</f>
        <v/>
      </c>
      <c r="DS224" t="str">
        <f>""</f>
        <v/>
      </c>
      <c r="DT224" t="str">
        <f>""</f>
        <v/>
      </c>
      <c r="DU224" t="str">
        <f>""</f>
        <v/>
      </c>
    </row>
    <row r="225" spans="1:125" x14ac:dyDescent="0.25">
      <c r="A225" t="str">
        <f>$A$86</f>
        <v xml:space="preserve">            Western Alliance Bancorp</v>
      </c>
      <c r="B225" t="str">
        <f>$B$86</f>
        <v>WAL US Equity</v>
      </c>
      <c r="C225" t="str">
        <f>$C$86</f>
        <v>FC070</v>
      </c>
      <c r="D225" t="str">
        <f>$D$86</f>
        <v>FDIC_TRADING_ACCT_ASSETS</v>
      </c>
      <c r="E225" t="str">
        <f>$E$86</f>
        <v>Dynamic</v>
      </c>
      <c r="F225">
        <f ca="1">_xll.BDH($B$86,$C$86,$B$143,$B$144,CONCATENATE("Per=",$B$141),"Dts=H","Dir=H",CONCATENATE("Points=",$B$142),"Sort=R","Days=A","Fill=B",CONCATENATE("FX=", $B$140),"cols=60;rows=1")</f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1.0189999999999999</v>
      </c>
      <c r="AL225">
        <v>1.0529999999999999</v>
      </c>
      <c r="AM225">
        <v>1.2789999999999999</v>
      </c>
      <c r="AN225">
        <v>1.3260000000000001</v>
      </c>
      <c r="AO225">
        <v>1.381</v>
      </c>
      <c r="AP225">
        <v>1.4810000000000001</v>
      </c>
      <c r="AQ225">
        <v>1.5369999999999999</v>
      </c>
      <c r="AR225">
        <v>1.7010000000000001</v>
      </c>
      <c r="AS225">
        <v>1.788</v>
      </c>
      <c r="AT225">
        <v>1.8580000000000001</v>
      </c>
      <c r="AU225">
        <v>1.9350000000000001</v>
      </c>
      <c r="AV225">
        <v>2.7930000000000001</v>
      </c>
      <c r="AW225">
        <v>2.9430000000000001</v>
      </c>
      <c r="AX225">
        <v>5.4219999999999997</v>
      </c>
      <c r="AY225">
        <v>3.6320000000000001</v>
      </c>
      <c r="AZ225">
        <v>3.9870000000000001</v>
      </c>
      <c r="BA225">
        <v>4.827</v>
      </c>
      <c r="BB225">
        <v>5.1070000000000002</v>
      </c>
      <c r="BC225">
        <v>5.5869999999999997</v>
      </c>
      <c r="BD225">
        <v>6.1630000000000003</v>
      </c>
      <c r="BE225">
        <v>6.3239999999999998</v>
      </c>
      <c r="BF225">
        <v>7.4749999999999996</v>
      </c>
      <c r="BG225">
        <v>8.0020000000000007</v>
      </c>
      <c r="BH225">
        <v>7.718</v>
      </c>
      <c r="BI225">
        <v>10.856999999999999</v>
      </c>
      <c r="BJ225">
        <v>15.067</v>
      </c>
      <c r="BK225">
        <v>33.454999999999998</v>
      </c>
      <c r="BL225">
        <v>41.534999999999997</v>
      </c>
      <c r="BM225">
        <v>50.232999999999997</v>
      </c>
      <c r="BN225" t="str">
        <f>""</f>
        <v/>
      </c>
      <c r="BO225" t="str">
        <f>""</f>
        <v/>
      </c>
      <c r="BP225" t="str">
        <f>""</f>
        <v/>
      </c>
      <c r="BQ225" t="str">
        <f>""</f>
        <v/>
      </c>
      <c r="BR225" t="str">
        <f>""</f>
        <v/>
      </c>
      <c r="BS225" t="str">
        <f>""</f>
        <v/>
      </c>
      <c r="BT225" t="str">
        <f>""</f>
        <v/>
      </c>
      <c r="BU225" t="str">
        <f>""</f>
        <v/>
      </c>
      <c r="BV225" t="str">
        <f>""</f>
        <v/>
      </c>
      <c r="BW225" t="str">
        <f>""</f>
        <v/>
      </c>
      <c r="BX225" t="str">
        <f>""</f>
        <v/>
      </c>
      <c r="BY225" t="str">
        <f>""</f>
        <v/>
      </c>
      <c r="BZ225" t="str">
        <f>""</f>
        <v/>
      </c>
      <c r="CA225" t="str">
        <f>""</f>
        <v/>
      </c>
      <c r="CB225" t="str">
        <f>""</f>
        <v/>
      </c>
      <c r="CC225" t="str">
        <f>""</f>
        <v/>
      </c>
      <c r="CD225" t="str">
        <f>""</f>
        <v/>
      </c>
      <c r="CE225" t="str">
        <f>""</f>
        <v/>
      </c>
      <c r="CF225" t="str">
        <f>""</f>
        <v/>
      </c>
      <c r="CG225" t="str">
        <f>""</f>
        <v/>
      </c>
      <c r="CH225" t="str">
        <f>""</f>
        <v/>
      </c>
      <c r="CI225" t="str">
        <f>""</f>
        <v/>
      </c>
      <c r="CJ225" t="str">
        <f>""</f>
        <v/>
      </c>
      <c r="CK225" t="str">
        <f>""</f>
        <v/>
      </c>
      <c r="CL225" t="str">
        <f>""</f>
        <v/>
      </c>
      <c r="CM225" t="str">
        <f>""</f>
        <v/>
      </c>
      <c r="CN225" t="str">
        <f>""</f>
        <v/>
      </c>
      <c r="CO225" t="str">
        <f>""</f>
        <v/>
      </c>
      <c r="CP225" t="str">
        <f>""</f>
        <v/>
      </c>
      <c r="CQ225" t="str">
        <f>""</f>
        <v/>
      </c>
      <c r="CR225" t="str">
        <f>""</f>
        <v/>
      </c>
      <c r="CS225" t="str">
        <f>""</f>
        <v/>
      </c>
      <c r="CT225" t="str">
        <f>""</f>
        <v/>
      </c>
      <c r="CU225" t="str">
        <f>""</f>
        <v/>
      </c>
      <c r="CV225" t="str">
        <f>""</f>
        <v/>
      </c>
      <c r="CW225" t="str">
        <f>""</f>
        <v/>
      </c>
      <c r="CX225" t="str">
        <f>""</f>
        <v/>
      </c>
      <c r="CY225" t="str">
        <f>""</f>
        <v/>
      </c>
      <c r="CZ225" t="str">
        <f>""</f>
        <v/>
      </c>
      <c r="DA225" t="str">
        <f>""</f>
        <v/>
      </c>
      <c r="DB225" t="str">
        <f>""</f>
        <v/>
      </c>
      <c r="DC225" t="str">
        <f>""</f>
        <v/>
      </c>
      <c r="DD225" t="str">
        <f>""</f>
        <v/>
      </c>
      <c r="DE225" t="str">
        <f>""</f>
        <v/>
      </c>
      <c r="DF225" t="str">
        <f>""</f>
        <v/>
      </c>
      <c r="DG225" t="str">
        <f>""</f>
        <v/>
      </c>
      <c r="DH225" t="str">
        <f>""</f>
        <v/>
      </c>
      <c r="DI225" t="str">
        <f>""</f>
        <v/>
      </c>
      <c r="DJ225" t="str">
        <f>""</f>
        <v/>
      </c>
      <c r="DK225" t="str">
        <f>""</f>
        <v/>
      </c>
      <c r="DL225" t="str">
        <f>""</f>
        <v/>
      </c>
      <c r="DM225" t="str">
        <f>""</f>
        <v/>
      </c>
      <c r="DN225" t="str">
        <f>""</f>
        <v/>
      </c>
      <c r="DO225" t="str">
        <f>""</f>
        <v/>
      </c>
      <c r="DP225" t="str">
        <f>""</f>
        <v/>
      </c>
      <c r="DQ225" t="str">
        <f>""</f>
        <v/>
      </c>
      <c r="DR225" t="str">
        <f>""</f>
        <v/>
      </c>
      <c r="DS225" t="str">
        <f>""</f>
        <v/>
      </c>
      <c r="DT225" t="str">
        <f>""</f>
        <v/>
      </c>
      <c r="DU225" t="str">
        <f>""</f>
        <v/>
      </c>
    </row>
    <row r="226" spans="1:125" x14ac:dyDescent="0.25">
      <c r="A226" t="str">
        <f>$A$87</f>
        <v xml:space="preserve">            Zions Bancorp NA</v>
      </c>
      <c r="B226" t="str">
        <f>$B$87</f>
        <v>ZION US Equity</v>
      </c>
      <c r="C226" t="str">
        <f>$C$87</f>
        <v>FC070</v>
      </c>
      <c r="D226" t="str">
        <f>$D$87</f>
        <v>FDIC_TRADING_ACCT_ASSETS</v>
      </c>
      <c r="E226" t="str">
        <f>$E$87</f>
        <v>Dynamic</v>
      </c>
      <c r="F226">
        <f ca="1">_xll.BDH($B$87,$C$87,$B$143,$B$144,CONCATENATE("Per=",$B$141),"Dts=H","Dir=H",CONCATENATE("Points=",$B$142),"Sort=R","Days=A","Fill=B",CONCATENATE("FX=", $B$140),"cols=60;rows=1")</f>
        <v>34.991</v>
      </c>
      <c r="G226">
        <v>67.686999999999998</v>
      </c>
      <c r="H226">
        <v>23.902999999999999</v>
      </c>
      <c r="I226">
        <v>59.475999999999999</v>
      </c>
      <c r="J226">
        <v>48.262</v>
      </c>
      <c r="K226">
        <v>31.34</v>
      </c>
      <c r="L226">
        <v>31.782</v>
      </c>
      <c r="M226">
        <v>12.488</v>
      </c>
      <c r="N226">
        <v>70.521000000000001</v>
      </c>
      <c r="O226">
        <v>736.63499999999999</v>
      </c>
      <c r="P226">
        <v>397.50400000000002</v>
      </c>
      <c r="Q226">
        <v>465.65100000000001</v>
      </c>
      <c r="R226">
        <v>575.38800000000003</v>
      </c>
      <c r="S226">
        <v>547.255</v>
      </c>
      <c r="T226">
        <v>448.48</v>
      </c>
      <c r="U226">
        <v>426.77600000000001</v>
      </c>
      <c r="Y226">
        <v>614.78499999999997</v>
      </c>
      <c r="BN226" t="str">
        <f>""</f>
        <v/>
      </c>
      <c r="BO226" t="str">
        <f>""</f>
        <v/>
      </c>
      <c r="BP226" t="str">
        <f>""</f>
        <v/>
      </c>
      <c r="BQ226" t="str">
        <f>""</f>
        <v/>
      </c>
      <c r="BR226" t="str">
        <f>""</f>
        <v/>
      </c>
      <c r="BS226" t="str">
        <f>""</f>
        <v/>
      </c>
      <c r="BT226" t="str">
        <f>""</f>
        <v/>
      </c>
      <c r="BU226" t="str">
        <f>""</f>
        <v/>
      </c>
      <c r="BV226" t="str">
        <f>""</f>
        <v/>
      </c>
      <c r="BW226" t="str">
        <f>""</f>
        <v/>
      </c>
      <c r="BX226" t="str">
        <f>""</f>
        <v/>
      </c>
      <c r="BY226" t="str">
        <f>""</f>
        <v/>
      </c>
      <c r="BZ226" t="str">
        <f>""</f>
        <v/>
      </c>
      <c r="CA226" t="str">
        <f>""</f>
        <v/>
      </c>
      <c r="CB226" t="str">
        <f>""</f>
        <v/>
      </c>
      <c r="CC226" t="str">
        <f>""</f>
        <v/>
      </c>
      <c r="CD226" t="str">
        <f>""</f>
        <v/>
      </c>
      <c r="CE226" t="str">
        <f>""</f>
        <v/>
      </c>
      <c r="CF226" t="str">
        <f>""</f>
        <v/>
      </c>
      <c r="CG226" t="str">
        <f>""</f>
        <v/>
      </c>
      <c r="CH226" t="str">
        <f>""</f>
        <v/>
      </c>
      <c r="CI226" t="str">
        <f>""</f>
        <v/>
      </c>
      <c r="CJ226" t="str">
        <f>""</f>
        <v/>
      </c>
      <c r="CK226" t="str">
        <f>""</f>
        <v/>
      </c>
      <c r="CL226" t="str">
        <f>""</f>
        <v/>
      </c>
      <c r="CM226" t="str">
        <f>""</f>
        <v/>
      </c>
      <c r="CN226" t="str">
        <f>""</f>
        <v/>
      </c>
      <c r="CO226" t="str">
        <f>""</f>
        <v/>
      </c>
      <c r="CP226" t="str">
        <f>""</f>
        <v/>
      </c>
      <c r="CQ226" t="str">
        <f>""</f>
        <v/>
      </c>
      <c r="CR226" t="str">
        <f>""</f>
        <v/>
      </c>
      <c r="CS226" t="str">
        <f>""</f>
        <v/>
      </c>
      <c r="CT226" t="str">
        <f>""</f>
        <v/>
      </c>
      <c r="CU226" t="str">
        <f>""</f>
        <v/>
      </c>
      <c r="CV226" t="str">
        <f>""</f>
        <v/>
      </c>
      <c r="CW226" t="str">
        <f>""</f>
        <v/>
      </c>
      <c r="CX226" t="str">
        <f>""</f>
        <v/>
      </c>
      <c r="CY226" t="str">
        <f>""</f>
        <v/>
      </c>
      <c r="CZ226" t="str">
        <f>""</f>
        <v/>
      </c>
      <c r="DA226" t="str">
        <f>""</f>
        <v/>
      </c>
      <c r="DB226" t="str">
        <f>""</f>
        <v/>
      </c>
      <c r="DC226" t="str">
        <f>""</f>
        <v/>
      </c>
      <c r="DD226" t="str">
        <f>""</f>
        <v/>
      </c>
      <c r="DE226" t="str">
        <f>""</f>
        <v/>
      </c>
      <c r="DF226" t="str">
        <f>""</f>
        <v/>
      </c>
      <c r="DG226" t="str">
        <f>""</f>
        <v/>
      </c>
      <c r="DH226" t="str">
        <f>""</f>
        <v/>
      </c>
      <c r="DI226" t="str">
        <f>""</f>
        <v/>
      </c>
      <c r="DJ226" t="str">
        <f>""</f>
        <v/>
      </c>
      <c r="DK226" t="str">
        <f>""</f>
        <v/>
      </c>
      <c r="DL226" t="str">
        <f>""</f>
        <v/>
      </c>
      <c r="DM226" t="str">
        <f>""</f>
        <v/>
      </c>
      <c r="DN226" t="str">
        <f>""</f>
        <v/>
      </c>
      <c r="DO226" t="str">
        <f>""</f>
        <v/>
      </c>
      <c r="DP226" t="str">
        <f>""</f>
        <v/>
      </c>
      <c r="DQ226" t="str">
        <f>""</f>
        <v/>
      </c>
      <c r="DR226" t="str">
        <f>""</f>
        <v/>
      </c>
      <c r="DS226" t="str">
        <f>""</f>
        <v/>
      </c>
      <c r="DT226" t="str">
        <f>""</f>
        <v/>
      </c>
      <c r="DU226" t="str">
        <f>""</f>
        <v/>
      </c>
    </row>
    <row r="227" spans="1:125" x14ac:dyDescent="0.25">
      <c r="A227" t="str">
        <f>$A$89</f>
        <v xml:space="preserve">            Bank of America Corp</v>
      </c>
      <c r="B227" t="str">
        <f>$B$89</f>
        <v>BAC US Equity</v>
      </c>
      <c r="C227" t="str">
        <f>$C$89</f>
        <v>FR531</v>
      </c>
      <c r="D227" t="str">
        <f>$D$89</f>
        <v>FED_INVT_IN_RE_VENTURES</v>
      </c>
      <c r="E227" t="str">
        <f>$E$89</f>
        <v>Dynamic</v>
      </c>
      <c r="F227">
        <f ca="1">_xll.BDH($B$89,$C$89,$B$143,$B$144,CONCATENATE("Per=",$B$141),"Dts=H","Dir=H",CONCATENATE("Points=",$B$142),"Sort=R","Days=A","Fill=B",CONCATENATE("FX=", $B$140),"cols=60;rows=1")</f>
        <v>17848</v>
      </c>
      <c r="G227">
        <v>17148</v>
      </c>
      <c r="H227">
        <v>17082</v>
      </c>
      <c r="I227">
        <v>16647</v>
      </c>
      <c r="J227">
        <v>16677</v>
      </c>
      <c r="K227">
        <v>15622</v>
      </c>
      <c r="L227">
        <v>15790</v>
      </c>
      <c r="M227">
        <v>15415</v>
      </c>
      <c r="N227">
        <v>15343</v>
      </c>
      <c r="O227">
        <v>14475</v>
      </c>
      <c r="P227">
        <v>14529</v>
      </c>
      <c r="Q227">
        <v>13902</v>
      </c>
      <c r="R227">
        <v>13563</v>
      </c>
      <c r="S227">
        <v>12738</v>
      </c>
      <c r="T227">
        <v>12682</v>
      </c>
      <c r="U227">
        <v>12134</v>
      </c>
      <c r="V227">
        <v>12163</v>
      </c>
      <c r="W227">
        <v>11407</v>
      </c>
      <c r="X227">
        <v>11071</v>
      </c>
      <c r="Y227">
        <v>10702</v>
      </c>
      <c r="Z227">
        <v>10690</v>
      </c>
      <c r="AA227">
        <v>9877</v>
      </c>
      <c r="AB227">
        <v>9608</v>
      </c>
      <c r="AC227">
        <v>9365</v>
      </c>
      <c r="AD227">
        <v>8372</v>
      </c>
      <c r="AE227">
        <v>8078</v>
      </c>
      <c r="AF227">
        <v>7992</v>
      </c>
      <c r="AG227">
        <v>7517</v>
      </c>
      <c r="AH227">
        <v>7471</v>
      </c>
      <c r="AI227">
        <v>7263</v>
      </c>
      <c r="AJ227">
        <v>7129</v>
      </c>
      <c r="AK227">
        <v>6966</v>
      </c>
      <c r="AL227">
        <v>7020</v>
      </c>
      <c r="AM227">
        <v>6456</v>
      </c>
      <c r="AN227">
        <v>6582</v>
      </c>
      <c r="AO227">
        <v>6682</v>
      </c>
      <c r="AP227">
        <v>6775</v>
      </c>
      <c r="AQ227">
        <v>6149</v>
      </c>
      <c r="AR227">
        <v>6313</v>
      </c>
      <c r="AS227">
        <v>6351</v>
      </c>
      <c r="AT227">
        <v>6531</v>
      </c>
      <c r="AU227">
        <v>6125</v>
      </c>
      <c r="AV227">
        <v>6035</v>
      </c>
      <c r="AW227">
        <v>6358</v>
      </c>
      <c r="AX227">
        <v>6382</v>
      </c>
      <c r="AY227">
        <v>6381</v>
      </c>
      <c r="AZ227">
        <v>6348</v>
      </c>
      <c r="BA227">
        <v>6321</v>
      </c>
      <c r="BB227">
        <v>6143.5860000000002</v>
      </c>
      <c r="BC227">
        <v>6187.0969999999998</v>
      </c>
      <c r="BD227">
        <v>6168.6679999999997</v>
      </c>
      <c r="BE227">
        <v>6280.77</v>
      </c>
      <c r="BF227">
        <v>6499.3530000000001</v>
      </c>
      <c r="BG227">
        <v>6380.8429999999998</v>
      </c>
      <c r="BH227">
        <v>6435.3819999999996</v>
      </c>
      <c r="BI227">
        <v>6545.8249999999998</v>
      </c>
      <c r="BJ227">
        <v>6847.6540000000005</v>
      </c>
      <c r="BK227">
        <v>6649.4260000000004</v>
      </c>
      <c r="BL227">
        <v>6736.3509999999997</v>
      </c>
      <c r="BM227">
        <v>6768.3230000000003</v>
      </c>
      <c r="BN227" t="str">
        <f>""</f>
        <v/>
      </c>
      <c r="BO227" t="str">
        <f>""</f>
        <v/>
      </c>
      <c r="BP227" t="str">
        <f>""</f>
        <v/>
      </c>
      <c r="BQ227" t="str">
        <f>""</f>
        <v/>
      </c>
      <c r="BR227" t="str">
        <f>""</f>
        <v/>
      </c>
      <c r="BS227" t="str">
        <f>""</f>
        <v/>
      </c>
      <c r="BT227" t="str">
        <f>""</f>
        <v/>
      </c>
      <c r="BU227" t="str">
        <f>""</f>
        <v/>
      </c>
      <c r="BV227" t="str">
        <f>""</f>
        <v/>
      </c>
      <c r="BW227" t="str">
        <f>""</f>
        <v/>
      </c>
      <c r="BX227" t="str">
        <f>""</f>
        <v/>
      </c>
      <c r="BY227" t="str">
        <f>""</f>
        <v/>
      </c>
      <c r="BZ227" t="str">
        <f>""</f>
        <v/>
      </c>
      <c r="CA227" t="str">
        <f>""</f>
        <v/>
      </c>
      <c r="CB227" t="str">
        <f>""</f>
        <v/>
      </c>
      <c r="CC227" t="str">
        <f>""</f>
        <v/>
      </c>
      <c r="CD227" t="str">
        <f>""</f>
        <v/>
      </c>
      <c r="CE227" t="str">
        <f>""</f>
        <v/>
      </c>
      <c r="CF227" t="str">
        <f>""</f>
        <v/>
      </c>
      <c r="CG227" t="str">
        <f>""</f>
        <v/>
      </c>
      <c r="CH227" t="str">
        <f>""</f>
        <v/>
      </c>
      <c r="CI227" t="str">
        <f>""</f>
        <v/>
      </c>
      <c r="CJ227" t="str">
        <f>""</f>
        <v/>
      </c>
      <c r="CK227" t="str">
        <f>""</f>
        <v/>
      </c>
      <c r="CL227" t="str">
        <f>""</f>
        <v/>
      </c>
      <c r="CM227" t="str">
        <f>""</f>
        <v/>
      </c>
      <c r="CN227" t="str">
        <f>""</f>
        <v/>
      </c>
      <c r="CO227" t="str">
        <f>""</f>
        <v/>
      </c>
      <c r="CP227" t="str">
        <f>""</f>
        <v/>
      </c>
      <c r="CQ227" t="str">
        <f>""</f>
        <v/>
      </c>
      <c r="CR227" t="str">
        <f>""</f>
        <v/>
      </c>
      <c r="CS227" t="str">
        <f>""</f>
        <v/>
      </c>
      <c r="CT227" t="str">
        <f>""</f>
        <v/>
      </c>
      <c r="CU227" t="str">
        <f>""</f>
        <v/>
      </c>
      <c r="CV227" t="str">
        <f>""</f>
        <v/>
      </c>
      <c r="CW227" t="str">
        <f>""</f>
        <v/>
      </c>
      <c r="CX227" t="str">
        <f>""</f>
        <v/>
      </c>
      <c r="CY227" t="str">
        <f>""</f>
        <v/>
      </c>
      <c r="CZ227" t="str">
        <f>""</f>
        <v/>
      </c>
      <c r="DA227" t="str">
        <f>""</f>
        <v/>
      </c>
      <c r="DB227" t="str">
        <f>""</f>
        <v/>
      </c>
      <c r="DC227" t="str">
        <f>""</f>
        <v/>
      </c>
      <c r="DD227" t="str">
        <f>""</f>
        <v/>
      </c>
      <c r="DE227" t="str">
        <f>""</f>
        <v/>
      </c>
      <c r="DF227" t="str">
        <f>""</f>
        <v/>
      </c>
      <c r="DG227" t="str">
        <f>""</f>
        <v/>
      </c>
      <c r="DH227" t="str">
        <f>""</f>
        <v/>
      </c>
      <c r="DI227" t="str">
        <f>""</f>
        <v/>
      </c>
      <c r="DJ227" t="str">
        <f>""</f>
        <v/>
      </c>
      <c r="DK227" t="str">
        <f>""</f>
        <v/>
      </c>
      <c r="DL227" t="str">
        <f>""</f>
        <v/>
      </c>
      <c r="DM227" t="str">
        <f>""</f>
        <v/>
      </c>
      <c r="DN227" t="str">
        <f>""</f>
        <v/>
      </c>
      <c r="DO227" t="str">
        <f>""</f>
        <v/>
      </c>
      <c r="DP227" t="str">
        <f>""</f>
        <v/>
      </c>
      <c r="DQ227" t="str">
        <f>""</f>
        <v/>
      </c>
      <c r="DR227" t="str">
        <f>""</f>
        <v/>
      </c>
      <c r="DS227" t="str">
        <f>""</f>
        <v/>
      </c>
      <c r="DT227" t="str">
        <f>""</f>
        <v/>
      </c>
      <c r="DU227" t="str">
        <f>""</f>
        <v/>
      </c>
    </row>
    <row r="228" spans="1:125" x14ac:dyDescent="0.25">
      <c r="A228" t="str">
        <f>$A$90</f>
        <v xml:space="preserve">            Citigroup Inc</v>
      </c>
      <c r="B228" t="str">
        <f>$B$90</f>
        <v>C US Equity</v>
      </c>
      <c r="C228" t="str">
        <f>$C$90</f>
        <v>FR531</v>
      </c>
      <c r="D228" t="str">
        <f>$D$90</f>
        <v>FED_INVT_IN_RE_VENTURES</v>
      </c>
      <c r="E228" t="str">
        <f>$E$90</f>
        <v>Dynamic</v>
      </c>
      <c r="F228">
        <f ca="1">_xll.BDH($B$90,$C$90,$B$143,$B$144,CONCATENATE("Per=",$B$141),"Dts=H","Dir=H",CONCATENATE("Points=",$B$142),"Sort=R","Days=A","Fill=B",CONCATENATE("FX=", $B$140),"cols=60;rows=1")</f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21</v>
      </c>
      <c r="AA228">
        <v>22</v>
      </c>
      <c r="AB228">
        <v>22</v>
      </c>
      <c r="AC228">
        <v>22</v>
      </c>
      <c r="AD228">
        <v>22</v>
      </c>
      <c r="AE228">
        <v>21</v>
      </c>
      <c r="AF228">
        <v>19</v>
      </c>
      <c r="AG228">
        <v>9</v>
      </c>
      <c r="AH228">
        <v>11</v>
      </c>
      <c r="AI228">
        <v>18</v>
      </c>
      <c r="AJ228">
        <v>19</v>
      </c>
      <c r="AK228">
        <v>18</v>
      </c>
      <c r="AL228">
        <v>17</v>
      </c>
      <c r="AM228">
        <v>18</v>
      </c>
      <c r="AN228">
        <v>17</v>
      </c>
      <c r="AO228">
        <v>18</v>
      </c>
      <c r="AP228">
        <v>18</v>
      </c>
      <c r="AQ228">
        <v>18</v>
      </c>
      <c r="AR228">
        <v>90</v>
      </c>
      <c r="AS228">
        <v>84</v>
      </c>
      <c r="AT228">
        <v>115</v>
      </c>
      <c r="AU228">
        <v>125</v>
      </c>
      <c r="AV228">
        <v>169</v>
      </c>
      <c r="AW228">
        <v>270</v>
      </c>
      <c r="AX228">
        <v>301</v>
      </c>
      <c r="AY228">
        <v>304</v>
      </c>
      <c r="AZ228">
        <v>310</v>
      </c>
      <c r="BA228">
        <v>314</v>
      </c>
      <c r="BB228">
        <v>321</v>
      </c>
      <c r="BC228">
        <v>322</v>
      </c>
      <c r="BD228">
        <v>347</v>
      </c>
      <c r="BE228">
        <v>365</v>
      </c>
      <c r="BF228">
        <v>420</v>
      </c>
      <c r="BG228">
        <v>510</v>
      </c>
      <c r="BH228">
        <v>523</v>
      </c>
      <c r="BI228">
        <v>501</v>
      </c>
      <c r="BJ228">
        <v>492</v>
      </c>
      <c r="BK228">
        <v>504</v>
      </c>
      <c r="BL228">
        <v>496</v>
      </c>
      <c r="BM228">
        <v>538</v>
      </c>
      <c r="BN228" t="str">
        <f>""</f>
        <v/>
      </c>
      <c r="BO228" t="str">
        <f>""</f>
        <v/>
      </c>
      <c r="BP228" t="str">
        <f>""</f>
        <v/>
      </c>
      <c r="BQ228" t="str">
        <f>""</f>
        <v/>
      </c>
      <c r="BR228" t="str">
        <f>""</f>
        <v/>
      </c>
      <c r="BS228" t="str">
        <f>""</f>
        <v/>
      </c>
      <c r="BT228" t="str">
        <f>""</f>
        <v/>
      </c>
      <c r="BU228" t="str">
        <f>""</f>
        <v/>
      </c>
      <c r="BV228" t="str">
        <f>""</f>
        <v/>
      </c>
      <c r="BW228" t="str">
        <f>""</f>
        <v/>
      </c>
      <c r="BX228" t="str">
        <f>""</f>
        <v/>
      </c>
      <c r="BY228" t="str">
        <f>""</f>
        <v/>
      </c>
      <c r="BZ228" t="str">
        <f>""</f>
        <v/>
      </c>
      <c r="CA228" t="str">
        <f>""</f>
        <v/>
      </c>
      <c r="CB228" t="str">
        <f>""</f>
        <v/>
      </c>
      <c r="CC228" t="str">
        <f>""</f>
        <v/>
      </c>
      <c r="CD228" t="str">
        <f>""</f>
        <v/>
      </c>
      <c r="CE228" t="str">
        <f>""</f>
        <v/>
      </c>
      <c r="CF228" t="str">
        <f>""</f>
        <v/>
      </c>
      <c r="CG228" t="str">
        <f>""</f>
        <v/>
      </c>
      <c r="CH228" t="str">
        <f>""</f>
        <v/>
      </c>
      <c r="CI228" t="str">
        <f>""</f>
        <v/>
      </c>
      <c r="CJ228" t="str">
        <f>""</f>
        <v/>
      </c>
      <c r="CK228" t="str">
        <f>""</f>
        <v/>
      </c>
      <c r="CL228" t="str">
        <f>""</f>
        <v/>
      </c>
      <c r="CM228" t="str">
        <f>""</f>
        <v/>
      </c>
      <c r="CN228" t="str">
        <f>""</f>
        <v/>
      </c>
      <c r="CO228" t="str">
        <f>""</f>
        <v/>
      </c>
      <c r="CP228" t="str">
        <f>""</f>
        <v/>
      </c>
      <c r="CQ228" t="str">
        <f>""</f>
        <v/>
      </c>
      <c r="CR228" t="str">
        <f>""</f>
        <v/>
      </c>
      <c r="CS228" t="str">
        <f>""</f>
        <v/>
      </c>
      <c r="CT228" t="str">
        <f>""</f>
        <v/>
      </c>
      <c r="CU228" t="str">
        <f>""</f>
        <v/>
      </c>
      <c r="CV228" t="str">
        <f>""</f>
        <v/>
      </c>
      <c r="CW228" t="str">
        <f>""</f>
        <v/>
      </c>
      <c r="CX228" t="str">
        <f>""</f>
        <v/>
      </c>
      <c r="CY228" t="str">
        <f>""</f>
        <v/>
      </c>
      <c r="CZ228" t="str">
        <f>""</f>
        <v/>
      </c>
      <c r="DA228" t="str">
        <f>""</f>
        <v/>
      </c>
      <c r="DB228" t="str">
        <f>""</f>
        <v/>
      </c>
      <c r="DC228" t="str">
        <f>""</f>
        <v/>
      </c>
      <c r="DD228" t="str">
        <f>""</f>
        <v/>
      </c>
      <c r="DE228" t="str">
        <f>""</f>
        <v/>
      </c>
      <c r="DF228" t="str">
        <f>""</f>
        <v/>
      </c>
      <c r="DG228" t="str">
        <f>""</f>
        <v/>
      </c>
      <c r="DH228" t="str">
        <f>""</f>
        <v/>
      </c>
      <c r="DI228" t="str">
        <f>""</f>
        <v/>
      </c>
      <c r="DJ228" t="str">
        <f>""</f>
        <v/>
      </c>
      <c r="DK228" t="str">
        <f>""</f>
        <v/>
      </c>
      <c r="DL228" t="str">
        <f>""</f>
        <v/>
      </c>
      <c r="DM228" t="str">
        <f>""</f>
        <v/>
      </c>
      <c r="DN228" t="str">
        <f>""</f>
        <v/>
      </c>
      <c r="DO228" t="str">
        <f>""</f>
        <v/>
      </c>
      <c r="DP228" t="str">
        <f>""</f>
        <v/>
      </c>
      <c r="DQ228" t="str">
        <f>""</f>
        <v/>
      </c>
      <c r="DR228" t="str">
        <f>""</f>
        <v/>
      </c>
      <c r="DS228" t="str">
        <f>""</f>
        <v/>
      </c>
      <c r="DT228" t="str">
        <f>""</f>
        <v/>
      </c>
      <c r="DU228" t="str">
        <f>""</f>
        <v/>
      </c>
    </row>
    <row r="229" spans="1:125" x14ac:dyDescent="0.25">
      <c r="A229" t="str">
        <f>$A$91</f>
        <v xml:space="preserve">            Citizens Financial Group Inc</v>
      </c>
      <c r="B229" t="str">
        <f>$B$91</f>
        <v>CFG US Equity</v>
      </c>
      <c r="C229" t="str">
        <f>$C$91</f>
        <v>FR531</v>
      </c>
      <c r="D229" t="str">
        <f>$D$91</f>
        <v>FED_INVT_IN_RE_VENTURES</v>
      </c>
      <c r="E229" t="str">
        <f>$E$91</f>
        <v>Dynamic</v>
      </c>
      <c r="F229">
        <f ca="1">_xll.BDH($B$91,$C$91,$B$143,$B$144,CONCATENATE("Per=",$B$141),"Dts=H","Dir=H",CONCATENATE("Points=",$B$142),"Sort=R","Days=A","Fill=B",CONCATENATE("FX=", $B$140),"cols=60;rows=1")</f>
        <v>2765.366</v>
      </c>
      <c r="G229">
        <v>2616.047</v>
      </c>
      <c r="H229">
        <v>2660.5419999999999</v>
      </c>
      <c r="I229">
        <v>2584.5360000000001</v>
      </c>
      <c r="J229">
        <v>2554.8530000000001</v>
      </c>
      <c r="K229">
        <v>2505.9879999999998</v>
      </c>
      <c r="L229">
        <v>2504.2139999999999</v>
      </c>
      <c r="M229">
        <v>2324.2550000000001</v>
      </c>
      <c r="N229">
        <v>2314.7440000000001</v>
      </c>
      <c r="O229">
        <v>2232.9270000000001</v>
      </c>
      <c r="P229">
        <v>2260.7860000000001</v>
      </c>
      <c r="Q229">
        <v>2214.5590000000002</v>
      </c>
      <c r="R229">
        <v>2063.8789999999999</v>
      </c>
      <c r="S229">
        <v>1985.481</v>
      </c>
      <c r="T229">
        <v>2009.902</v>
      </c>
      <c r="U229">
        <v>1849.973</v>
      </c>
      <c r="V229">
        <v>1755.308</v>
      </c>
      <c r="W229">
        <v>1592.729</v>
      </c>
      <c r="X229">
        <v>1521.1890000000001</v>
      </c>
      <c r="Y229">
        <v>1492.5719999999999</v>
      </c>
      <c r="Z229">
        <v>1456.2529999999999</v>
      </c>
      <c r="AA229">
        <v>1378.856</v>
      </c>
      <c r="AB229">
        <v>1358.0160000000001</v>
      </c>
      <c r="AC229">
        <v>1319.3389999999999</v>
      </c>
      <c r="AD229">
        <v>1293.78</v>
      </c>
      <c r="AE229">
        <v>1260.4670000000001</v>
      </c>
      <c r="AF229">
        <v>1108.2070000000001</v>
      </c>
      <c r="AG229">
        <v>1046.18</v>
      </c>
      <c r="AH229">
        <v>1006.3680000000001</v>
      </c>
      <c r="AI229">
        <v>964.59699999999998</v>
      </c>
      <c r="AJ229">
        <v>914.45699999999999</v>
      </c>
      <c r="AK229">
        <v>843.80899999999997</v>
      </c>
      <c r="AL229">
        <v>842.11199999999997</v>
      </c>
      <c r="AM229">
        <v>737.96</v>
      </c>
      <c r="AN229">
        <v>698.02800000000002</v>
      </c>
      <c r="AO229">
        <v>679.69899999999996</v>
      </c>
      <c r="AP229">
        <v>635.74199999999996</v>
      </c>
      <c r="AQ229">
        <v>555.13199999999995</v>
      </c>
      <c r="AR229">
        <v>530.25599999999997</v>
      </c>
      <c r="AS229">
        <v>506.875</v>
      </c>
      <c r="AT229">
        <v>431.637</v>
      </c>
      <c r="AU229">
        <v>359.81200000000001</v>
      </c>
      <c r="AV229">
        <v>309.19900000000001</v>
      </c>
      <c r="AW229">
        <v>296.447</v>
      </c>
      <c r="AX229">
        <v>251.297</v>
      </c>
      <c r="AY229">
        <v>164.441</v>
      </c>
      <c r="AZ229">
        <v>104.41</v>
      </c>
      <c r="BA229">
        <v>86.3</v>
      </c>
      <c r="BB229">
        <v>88.558000000000007</v>
      </c>
      <c r="BC229">
        <v>99.331000000000003</v>
      </c>
      <c r="BD229">
        <v>101.83499999999999</v>
      </c>
      <c r="BE229">
        <v>99.192999999999998</v>
      </c>
      <c r="BF229">
        <v>101.64</v>
      </c>
      <c r="BG229">
        <v>113.645</v>
      </c>
      <c r="BH229">
        <v>115.078</v>
      </c>
      <c r="BI229">
        <v>116.798</v>
      </c>
      <c r="BJ229">
        <v>118.559</v>
      </c>
      <c r="BK229">
        <v>125.884</v>
      </c>
      <c r="BL229">
        <v>130.24700000000001</v>
      </c>
      <c r="BM229">
        <v>132.26900000000001</v>
      </c>
      <c r="BN229" t="str">
        <f>""</f>
        <v/>
      </c>
      <c r="BO229" t="str">
        <f>""</f>
        <v/>
      </c>
      <c r="BP229" t="str">
        <f>""</f>
        <v/>
      </c>
      <c r="BQ229" t="str">
        <f>""</f>
        <v/>
      </c>
      <c r="BR229" t="str">
        <f>""</f>
        <v/>
      </c>
      <c r="BS229" t="str">
        <f>""</f>
        <v/>
      </c>
      <c r="BT229" t="str">
        <f>""</f>
        <v/>
      </c>
      <c r="BU229" t="str">
        <f>""</f>
        <v/>
      </c>
      <c r="BV229" t="str">
        <f>""</f>
        <v/>
      </c>
      <c r="BW229" t="str">
        <f>""</f>
        <v/>
      </c>
      <c r="BX229" t="str">
        <f>""</f>
        <v/>
      </c>
      <c r="BY229" t="str">
        <f>""</f>
        <v/>
      </c>
      <c r="BZ229" t="str">
        <f>""</f>
        <v/>
      </c>
      <c r="CA229" t="str">
        <f>""</f>
        <v/>
      </c>
      <c r="CB229" t="str">
        <f>""</f>
        <v/>
      </c>
      <c r="CC229" t="str">
        <f>""</f>
        <v/>
      </c>
      <c r="CD229" t="str">
        <f>""</f>
        <v/>
      </c>
      <c r="CE229" t="str">
        <f>""</f>
        <v/>
      </c>
      <c r="CF229" t="str">
        <f>""</f>
        <v/>
      </c>
      <c r="CG229" t="str">
        <f>""</f>
        <v/>
      </c>
      <c r="CH229" t="str">
        <f>""</f>
        <v/>
      </c>
      <c r="CI229" t="str">
        <f>""</f>
        <v/>
      </c>
      <c r="CJ229" t="str">
        <f>""</f>
        <v/>
      </c>
      <c r="CK229" t="str">
        <f>""</f>
        <v/>
      </c>
      <c r="CL229" t="str">
        <f>""</f>
        <v/>
      </c>
      <c r="CM229" t="str">
        <f>""</f>
        <v/>
      </c>
      <c r="CN229" t="str">
        <f>""</f>
        <v/>
      </c>
      <c r="CO229" t="str">
        <f>""</f>
        <v/>
      </c>
      <c r="CP229" t="str">
        <f>""</f>
        <v/>
      </c>
      <c r="CQ229" t="str">
        <f>""</f>
        <v/>
      </c>
      <c r="CR229" t="str">
        <f>""</f>
        <v/>
      </c>
      <c r="CS229" t="str">
        <f>""</f>
        <v/>
      </c>
      <c r="CT229" t="str">
        <f>""</f>
        <v/>
      </c>
      <c r="CU229" t="str">
        <f>""</f>
        <v/>
      </c>
      <c r="CV229" t="str">
        <f>""</f>
        <v/>
      </c>
      <c r="CW229" t="str">
        <f>""</f>
        <v/>
      </c>
      <c r="CX229" t="str">
        <f>""</f>
        <v/>
      </c>
      <c r="CY229" t="str">
        <f>""</f>
        <v/>
      </c>
      <c r="CZ229" t="str">
        <f>""</f>
        <v/>
      </c>
      <c r="DA229" t="str">
        <f>""</f>
        <v/>
      </c>
      <c r="DB229" t="str">
        <f>""</f>
        <v/>
      </c>
      <c r="DC229" t="str">
        <f>""</f>
        <v/>
      </c>
      <c r="DD229" t="str">
        <f>""</f>
        <v/>
      </c>
      <c r="DE229" t="str">
        <f>""</f>
        <v/>
      </c>
      <c r="DF229" t="str">
        <f>""</f>
        <v/>
      </c>
      <c r="DG229" t="str">
        <f>""</f>
        <v/>
      </c>
      <c r="DH229" t="str">
        <f>""</f>
        <v/>
      </c>
      <c r="DI229" t="str">
        <f>""</f>
        <v/>
      </c>
      <c r="DJ229" t="str">
        <f>""</f>
        <v/>
      </c>
      <c r="DK229" t="str">
        <f>""</f>
        <v/>
      </c>
      <c r="DL229" t="str">
        <f>""</f>
        <v/>
      </c>
      <c r="DM229" t="str">
        <f>""</f>
        <v/>
      </c>
      <c r="DN229" t="str">
        <f>""</f>
        <v/>
      </c>
      <c r="DO229" t="str">
        <f>""</f>
        <v/>
      </c>
      <c r="DP229" t="str">
        <f>""</f>
        <v/>
      </c>
      <c r="DQ229" t="str">
        <f>""</f>
        <v/>
      </c>
      <c r="DR229" t="str">
        <f>""</f>
        <v/>
      </c>
      <c r="DS229" t="str">
        <f>""</f>
        <v/>
      </c>
      <c r="DT229" t="str">
        <f>""</f>
        <v/>
      </c>
      <c r="DU229" t="str">
        <f>""</f>
        <v/>
      </c>
    </row>
    <row r="230" spans="1:125" x14ac:dyDescent="0.25">
      <c r="A230" t="str">
        <f>$A$92</f>
        <v xml:space="preserve">            Capital One Financial Corp</v>
      </c>
      <c r="B230" t="str">
        <f>$B$92</f>
        <v>COF US Equity</v>
      </c>
      <c r="C230" t="str">
        <f>$C$92</f>
        <v>FR531</v>
      </c>
      <c r="D230" t="str">
        <f>$D$92</f>
        <v>FED_INVT_IN_RE_VENTURES</v>
      </c>
      <c r="E230" t="str">
        <f>$E$92</f>
        <v>Dynamic</v>
      </c>
      <c r="F230">
        <f ca="1">_xll.BDH($B$92,$C$92,$B$143,$B$144,CONCATENATE("Per=",$B$141),"Dts=H","Dir=H",CONCATENATE("Points=",$B$142),"Sort=R","Days=A","Fill=B",CONCATENATE("FX=", $B$140),"cols=60;rows=1")</f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 t="str">
        <f>""</f>
        <v/>
      </c>
      <c r="BO230" t="str">
        <f>""</f>
        <v/>
      </c>
      <c r="BP230" t="str">
        <f>""</f>
        <v/>
      </c>
      <c r="BQ230" t="str">
        <f>""</f>
        <v/>
      </c>
      <c r="BR230" t="str">
        <f>""</f>
        <v/>
      </c>
      <c r="BS230" t="str">
        <f>""</f>
        <v/>
      </c>
      <c r="BT230" t="str">
        <f>""</f>
        <v/>
      </c>
      <c r="BU230" t="str">
        <f>""</f>
        <v/>
      </c>
      <c r="BV230" t="str">
        <f>""</f>
        <v/>
      </c>
      <c r="BW230" t="str">
        <f>""</f>
        <v/>
      </c>
      <c r="BX230" t="str">
        <f>""</f>
        <v/>
      </c>
      <c r="BY230" t="str">
        <f>""</f>
        <v/>
      </c>
      <c r="BZ230" t="str">
        <f>""</f>
        <v/>
      </c>
      <c r="CA230" t="str">
        <f>""</f>
        <v/>
      </c>
      <c r="CB230" t="str">
        <f>""</f>
        <v/>
      </c>
      <c r="CC230" t="str">
        <f>""</f>
        <v/>
      </c>
      <c r="CD230" t="str">
        <f>""</f>
        <v/>
      </c>
      <c r="CE230" t="str">
        <f>""</f>
        <v/>
      </c>
      <c r="CF230" t="str">
        <f>""</f>
        <v/>
      </c>
      <c r="CG230" t="str">
        <f>""</f>
        <v/>
      </c>
      <c r="CH230" t="str">
        <f>""</f>
        <v/>
      </c>
      <c r="CI230" t="str">
        <f>""</f>
        <v/>
      </c>
      <c r="CJ230" t="str">
        <f>""</f>
        <v/>
      </c>
      <c r="CK230" t="str">
        <f>""</f>
        <v/>
      </c>
      <c r="CL230" t="str">
        <f>""</f>
        <v/>
      </c>
      <c r="CM230" t="str">
        <f>""</f>
        <v/>
      </c>
      <c r="CN230" t="str">
        <f>""</f>
        <v/>
      </c>
      <c r="CO230" t="str">
        <f>""</f>
        <v/>
      </c>
      <c r="CP230" t="str">
        <f>""</f>
        <v/>
      </c>
      <c r="CQ230" t="str">
        <f>""</f>
        <v/>
      </c>
      <c r="CR230" t="str">
        <f>""</f>
        <v/>
      </c>
      <c r="CS230" t="str">
        <f>""</f>
        <v/>
      </c>
      <c r="CT230" t="str">
        <f>""</f>
        <v/>
      </c>
      <c r="CU230" t="str">
        <f>""</f>
        <v/>
      </c>
      <c r="CV230" t="str">
        <f>""</f>
        <v/>
      </c>
      <c r="CW230" t="str">
        <f>""</f>
        <v/>
      </c>
      <c r="CX230" t="str">
        <f>""</f>
        <v/>
      </c>
      <c r="CY230" t="str">
        <f>""</f>
        <v/>
      </c>
      <c r="CZ230" t="str">
        <f>""</f>
        <v/>
      </c>
      <c r="DA230" t="str">
        <f>""</f>
        <v/>
      </c>
      <c r="DB230" t="str">
        <f>""</f>
        <v/>
      </c>
      <c r="DC230" t="str">
        <f>""</f>
        <v/>
      </c>
      <c r="DD230" t="str">
        <f>""</f>
        <v/>
      </c>
      <c r="DE230" t="str">
        <f>""</f>
        <v/>
      </c>
      <c r="DF230" t="str">
        <f>""</f>
        <v/>
      </c>
      <c r="DG230" t="str">
        <f>""</f>
        <v/>
      </c>
      <c r="DH230" t="str">
        <f>""</f>
        <v/>
      </c>
      <c r="DI230" t="str">
        <f>""</f>
        <v/>
      </c>
      <c r="DJ230" t="str">
        <f>""</f>
        <v/>
      </c>
      <c r="DK230" t="str">
        <f>""</f>
        <v/>
      </c>
      <c r="DL230" t="str">
        <f>""</f>
        <v/>
      </c>
      <c r="DM230" t="str">
        <f>""</f>
        <v/>
      </c>
      <c r="DN230" t="str">
        <f>""</f>
        <v/>
      </c>
      <c r="DO230" t="str">
        <f>""</f>
        <v/>
      </c>
      <c r="DP230" t="str">
        <f>""</f>
        <v/>
      </c>
      <c r="DQ230" t="str">
        <f>""</f>
        <v/>
      </c>
      <c r="DR230" t="str">
        <f>""</f>
        <v/>
      </c>
      <c r="DS230" t="str">
        <f>""</f>
        <v/>
      </c>
      <c r="DT230" t="str">
        <f>""</f>
        <v/>
      </c>
      <c r="DU230" t="str">
        <f>""</f>
        <v/>
      </c>
    </row>
    <row r="231" spans="1:125" x14ac:dyDescent="0.25">
      <c r="A231" t="str">
        <f>$A$93</f>
        <v xml:space="preserve">            Comerica Inc</v>
      </c>
      <c r="B231" t="str">
        <f>$B$93</f>
        <v>CMA US Equity</v>
      </c>
      <c r="C231" t="str">
        <f>$C$93</f>
        <v>FR531</v>
      </c>
      <c r="D231" t="str">
        <f>$D$93</f>
        <v>FED_INVT_IN_RE_VENTURES</v>
      </c>
      <c r="E231" t="str">
        <f>$E$93</f>
        <v>Dynamic</v>
      </c>
      <c r="F231">
        <f ca="1">_xll.BDH($B$93,$C$93,$B$143,$B$144,CONCATENATE("Per=",$B$141),"Dts=H","Dir=H",CONCATENATE("Points=",$B$142),"Sort=R","Days=A","Fill=B",CONCATENATE("FX=", $B$140),"cols=60;rows=1")</f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 t="str">
        <f>""</f>
        <v/>
      </c>
      <c r="BO231" t="str">
        <f>""</f>
        <v/>
      </c>
      <c r="BP231" t="str">
        <f>""</f>
        <v/>
      </c>
      <c r="BQ231" t="str">
        <f>""</f>
        <v/>
      </c>
      <c r="BR231" t="str">
        <f>""</f>
        <v/>
      </c>
      <c r="BS231" t="str">
        <f>""</f>
        <v/>
      </c>
      <c r="BT231" t="str">
        <f>""</f>
        <v/>
      </c>
      <c r="BU231" t="str">
        <f>""</f>
        <v/>
      </c>
      <c r="BV231" t="str">
        <f>""</f>
        <v/>
      </c>
      <c r="BW231" t="str">
        <f>""</f>
        <v/>
      </c>
      <c r="BX231" t="str">
        <f>""</f>
        <v/>
      </c>
      <c r="BY231" t="str">
        <f>""</f>
        <v/>
      </c>
      <c r="BZ231" t="str">
        <f>""</f>
        <v/>
      </c>
      <c r="CA231" t="str">
        <f>""</f>
        <v/>
      </c>
      <c r="CB231" t="str">
        <f>""</f>
        <v/>
      </c>
      <c r="CC231" t="str">
        <f>""</f>
        <v/>
      </c>
      <c r="CD231" t="str">
        <f>""</f>
        <v/>
      </c>
      <c r="CE231" t="str">
        <f>""</f>
        <v/>
      </c>
      <c r="CF231" t="str">
        <f>""</f>
        <v/>
      </c>
      <c r="CG231" t="str">
        <f>""</f>
        <v/>
      </c>
      <c r="CH231" t="str">
        <f>""</f>
        <v/>
      </c>
      <c r="CI231" t="str">
        <f>""</f>
        <v/>
      </c>
      <c r="CJ231" t="str">
        <f>""</f>
        <v/>
      </c>
      <c r="CK231" t="str">
        <f>""</f>
        <v/>
      </c>
      <c r="CL231" t="str">
        <f>""</f>
        <v/>
      </c>
      <c r="CM231" t="str">
        <f>""</f>
        <v/>
      </c>
      <c r="CN231" t="str">
        <f>""</f>
        <v/>
      </c>
      <c r="CO231" t="str">
        <f>""</f>
        <v/>
      </c>
      <c r="CP231" t="str">
        <f>""</f>
        <v/>
      </c>
      <c r="CQ231" t="str">
        <f>""</f>
        <v/>
      </c>
      <c r="CR231" t="str">
        <f>""</f>
        <v/>
      </c>
      <c r="CS231" t="str">
        <f>""</f>
        <v/>
      </c>
      <c r="CT231" t="str">
        <f>""</f>
        <v/>
      </c>
      <c r="CU231" t="str">
        <f>""</f>
        <v/>
      </c>
      <c r="CV231" t="str">
        <f>""</f>
        <v/>
      </c>
      <c r="CW231" t="str">
        <f>""</f>
        <v/>
      </c>
      <c r="CX231" t="str">
        <f>""</f>
        <v/>
      </c>
      <c r="CY231" t="str">
        <f>""</f>
        <v/>
      </c>
      <c r="CZ231" t="str">
        <f>""</f>
        <v/>
      </c>
      <c r="DA231" t="str">
        <f>""</f>
        <v/>
      </c>
      <c r="DB231" t="str">
        <f>""</f>
        <v/>
      </c>
      <c r="DC231" t="str">
        <f>""</f>
        <v/>
      </c>
      <c r="DD231" t="str">
        <f>""</f>
        <v/>
      </c>
      <c r="DE231" t="str">
        <f>""</f>
        <v/>
      </c>
      <c r="DF231" t="str">
        <f>""</f>
        <v/>
      </c>
      <c r="DG231" t="str">
        <f>""</f>
        <v/>
      </c>
      <c r="DH231" t="str">
        <f>""</f>
        <v/>
      </c>
      <c r="DI231" t="str">
        <f>""</f>
        <v/>
      </c>
      <c r="DJ231" t="str">
        <f>""</f>
        <v/>
      </c>
      <c r="DK231" t="str">
        <f>""</f>
        <v/>
      </c>
      <c r="DL231" t="str">
        <f>""</f>
        <v/>
      </c>
      <c r="DM231" t="str">
        <f>""</f>
        <v/>
      </c>
      <c r="DN231" t="str">
        <f>""</f>
        <v/>
      </c>
      <c r="DO231" t="str">
        <f>""</f>
        <v/>
      </c>
      <c r="DP231" t="str">
        <f>""</f>
        <v/>
      </c>
      <c r="DQ231" t="str">
        <f>""</f>
        <v/>
      </c>
      <c r="DR231" t="str">
        <f>""</f>
        <v/>
      </c>
      <c r="DS231" t="str">
        <f>""</f>
        <v/>
      </c>
      <c r="DT231" t="str">
        <f>""</f>
        <v/>
      </c>
      <c r="DU231" t="str">
        <f>""</f>
        <v/>
      </c>
    </row>
    <row r="232" spans="1:125" x14ac:dyDescent="0.25">
      <c r="A232" t="str">
        <f>$A$94</f>
        <v xml:space="preserve">            East West Bancorp Inc</v>
      </c>
      <c r="B232" t="str">
        <f>$B$94</f>
        <v>EWBC US Equity</v>
      </c>
      <c r="C232" t="str">
        <f>$C$94</f>
        <v>FR531</v>
      </c>
      <c r="D232" t="str">
        <f>$D$94</f>
        <v>FED_INVT_IN_RE_VENTURES</v>
      </c>
      <c r="E232" t="str">
        <f>$E$94</f>
        <v>Dynamic</v>
      </c>
      <c r="F232">
        <f ca="1">_xll.BDH($B$94,$C$94,$B$143,$B$144,CONCATENATE("Per=",$B$141),"Dts=H","Dir=H",CONCATENATE("Points=",$B$142),"Sort=R","Days=A","Fill=B",CONCATENATE("FX=", $B$140),"cols=60;rows=1")</f>
        <v>547.35900000000004</v>
      </c>
      <c r="G232">
        <v>531.98199999999997</v>
      </c>
      <c r="H232">
        <v>529.26700000000005</v>
      </c>
      <c r="I232">
        <v>489.02199999999999</v>
      </c>
      <c r="J232">
        <v>478.50599999999997</v>
      </c>
      <c r="K232">
        <v>472.44299999999998</v>
      </c>
      <c r="L232">
        <v>485.37099999999998</v>
      </c>
      <c r="M232">
        <v>456.315</v>
      </c>
      <c r="N232">
        <v>472.02100000000002</v>
      </c>
      <c r="O232">
        <v>475.298</v>
      </c>
      <c r="P232">
        <v>398.84300000000002</v>
      </c>
      <c r="Q232">
        <v>375.33499999999998</v>
      </c>
      <c r="R232">
        <v>383.84100000000001</v>
      </c>
      <c r="S232">
        <v>397.77600000000001</v>
      </c>
      <c r="T232">
        <v>388.24</v>
      </c>
      <c r="U232">
        <v>383.26600000000002</v>
      </c>
      <c r="V232">
        <v>286.565</v>
      </c>
      <c r="W232">
        <v>257.99900000000002</v>
      </c>
      <c r="X232">
        <v>274.82499999999999</v>
      </c>
      <c r="Y232">
        <v>276.55900000000003</v>
      </c>
      <c r="Z232">
        <v>274.73899999999998</v>
      </c>
      <c r="AA232">
        <v>243.93299999999999</v>
      </c>
      <c r="AB232">
        <v>260.197</v>
      </c>
      <c r="AC232">
        <v>267.55500000000001</v>
      </c>
      <c r="AD232">
        <v>262.154</v>
      </c>
      <c r="AE232">
        <v>232.358</v>
      </c>
      <c r="AF232">
        <v>239.12200000000001</v>
      </c>
      <c r="AG232">
        <v>245.55699999999999</v>
      </c>
      <c r="AH232">
        <v>253.05500000000001</v>
      </c>
      <c r="AI232">
        <v>261.13799999999998</v>
      </c>
      <c r="AJ232">
        <v>240.017</v>
      </c>
      <c r="AK232">
        <v>249.87899999999999</v>
      </c>
      <c r="AL232">
        <v>254.75899999999999</v>
      </c>
      <c r="AM232">
        <v>237.28700000000001</v>
      </c>
      <c r="AN232">
        <v>251.93</v>
      </c>
      <c r="AO232">
        <v>253.77199999999999</v>
      </c>
      <c r="AP232">
        <v>262.34800000000001</v>
      </c>
      <c r="AQ232">
        <v>213.648</v>
      </c>
      <c r="AR232">
        <v>216.488</v>
      </c>
      <c r="AS232">
        <v>204.61600000000001</v>
      </c>
      <c r="AT232">
        <v>180.33500000000001</v>
      </c>
      <c r="AU232">
        <v>181.648</v>
      </c>
      <c r="AV232">
        <v>184.053</v>
      </c>
      <c r="AW232">
        <v>191.553</v>
      </c>
      <c r="AX232">
        <v>167.02699999999999</v>
      </c>
      <c r="AY232">
        <v>170.92400000000001</v>
      </c>
      <c r="AZ232">
        <v>175.95</v>
      </c>
      <c r="BA232">
        <v>181.42400000000001</v>
      </c>
      <c r="BB232">
        <v>185.18100000000001</v>
      </c>
      <c r="BC232">
        <v>178.096</v>
      </c>
      <c r="BD232">
        <v>180.87100000000001</v>
      </c>
      <c r="BE232">
        <v>159.691</v>
      </c>
      <c r="BF232">
        <v>143.46100000000001</v>
      </c>
      <c r="BG232">
        <v>171.47900000000001</v>
      </c>
      <c r="BH232">
        <v>176.52</v>
      </c>
      <c r="BI232">
        <v>57.863</v>
      </c>
      <c r="BJ232">
        <v>37.712000000000003</v>
      </c>
      <c r="BK232">
        <v>38.732999999999997</v>
      </c>
      <c r="BL232">
        <v>84.521000000000001</v>
      </c>
      <c r="BM232">
        <v>64.771000000000001</v>
      </c>
      <c r="BN232" t="str">
        <f>""</f>
        <v/>
      </c>
      <c r="BO232" t="str">
        <f>""</f>
        <v/>
      </c>
      <c r="BP232" t="str">
        <f>""</f>
        <v/>
      </c>
      <c r="BQ232" t="str">
        <f>""</f>
        <v/>
      </c>
      <c r="BR232" t="str">
        <f>""</f>
        <v/>
      </c>
      <c r="BS232" t="str">
        <f>""</f>
        <v/>
      </c>
      <c r="BT232" t="str">
        <f>""</f>
        <v/>
      </c>
      <c r="BU232" t="str">
        <f>""</f>
        <v/>
      </c>
      <c r="BV232" t="str">
        <f>""</f>
        <v/>
      </c>
      <c r="BW232" t="str">
        <f>""</f>
        <v/>
      </c>
      <c r="BX232" t="str">
        <f>""</f>
        <v/>
      </c>
      <c r="BY232" t="str">
        <f>""</f>
        <v/>
      </c>
      <c r="BZ232" t="str">
        <f>""</f>
        <v/>
      </c>
      <c r="CA232" t="str">
        <f>""</f>
        <v/>
      </c>
      <c r="CB232" t="str">
        <f>""</f>
        <v/>
      </c>
      <c r="CC232" t="str">
        <f>""</f>
        <v/>
      </c>
      <c r="CD232" t="str">
        <f>""</f>
        <v/>
      </c>
      <c r="CE232" t="str">
        <f>""</f>
        <v/>
      </c>
      <c r="CF232" t="str">
        <f>""</f>
        <v/>
      </c>
      <c r="CG232" t="str">
        <f>""</f>
        <v/>
      </c>
      <c r="CH232" t="str">
        <f>""</f>
        <v/>
      </c>
      <c r="CI232" t="str">
        <f>""</f>
        <v/>
      </c>
      <c r="CJ232" t="str">
        <f>""</f>
        <v/>
      </c>
      <c r="CK232" t="str">
        <f>""</f>
        <v/>
      </c>
      <c r="CL232" t="str">
        <f>""</f>
        <v/>
      </c>
      <c r="CM232" t="str">
        <f>""</f>
        <v/>
      </c>
      <c r="CN232" t="str">
        <f>""</f>
        <v/>
      </c>
      <c r="CO232" t="str">
        <f>""</f>
        <v/>
      </c>
      <c r="CP232" t="str">
        <f>""</f>
        <v/>
      </c>
      <c r="CQ232" t="str">
        <f>""</f>
        <v/>
      </c>
      <c r="CR232" t="str">
        <f>""</f>
        <v/>
      </c>
      <c r="CS232" t="str">
        <f>""</f>
        <v/>
      </c>
      <c r="CT232" t="str">
        <f>""</f>
        <v/>
      </c>
      <c r="CU232" t="str">
        <f>""</f>
        <v/>
      </c>
      <c r="CV232" t="str">
        <f>""</f>
        <v/>
      </c>
      <c r="CW232" t="str">
        <f>""</f>
        <v/>
      </c>
      <c r="CX232" t="str">
        <f>""</f>
        <v/>
      </c>
      <c r="CY232" t="str">
        <f>""</f>
        <v/>
      </c>
      <c r="CZ232" t="str">
        <f>""</f>
        <v/>
      </c>
      <c r="DA232" t="str">
        <f>""</f>
        <v/>
      </c>
      <c r="DB232" t="str">
        <f>""</f>
        <v/>
      </c>
      <c r="DC232" t="str">
        <f>""</f>
        <v/>
      </c>
      <c r="DD232" t="str">
        <f>""</f>
        <v/>
      </c>
      <c r="DE232" t="str">
        <f>""</f>
        <v/>
      </c>
      <c r="DF232" t="str">
        <f>""</f>
        <v/>
      </c>
      <c r="DG232" t="str">
        <f>""</f>
        <v/>
      </c>
      <c r="DH232" t="str">
        <f>""</f>
        <v/>
      </c>
      <c r="DI232" t="str">
        <f>""</f>
        <v/>
      </c>
      <c r="DJ232" t="str">
        <f>""</f>
        <v/>
      </c>
      <c r="DK232" t="str">
        <f>""</f>
        <v/>
      </c>
      <c r="DL232" t="str">
        <f>""</f>
        <v/>
      </c>
      <c r="DM232" t="str">
        <f>""</f>
        <v/>
      </c>
      <c r="DN232" t="str">
        <f>""</f>
        <v/>
      </c>
      <c r="DO232" t="str">
        <f>""</f>
        <v/>
      </c>
      <c r="DP232" t="str">
        <f>""</f>
        <v/>
      </c>
      <c r="DQ232" t="str">
        <f>""</f>
        <v/>
      </c>
      <c r="DR232" t="str">
        <f>""</f>
        <v/>
      </c>
      <c r="DS232" t="str">
        <f>""</f>
        <v/>
      </c>
      <c r="DT232" t="str">
        <f>""</f>
        <v/>
      </c>
      <c r="DU232" t="str">
        <f>""</f>
        <v/>
      </c>
    </row>
    <row r="233" spans="1:125" x14ac:dyDescent="0.25">
      <c r="A233" t="str">
        <f>$A$95</f>
        <v xml:space="preserve">            Fifth Third Bancorp</v>
      </c>
      <c r="B233" t="str">
        <f>$B$95</f>
        <v>FITB US Equity</v>
      </c>
      <c r="C233" t="str">
        <f>$C$95</f>
        <v>FR531</v>
      </c>
      <c r="D233" t="str">
        <f>$D$95</f>
        <v>FED_INVT_IN_RE_VENTURES</v>
      </c>
      <c r="E233" t="str">
        <f>$E$95</f>
        <v>Dynamic</v>
      </c>
      <c r="F233">
        <f ca="1">_xll.BDH($B$95,$C$95,$B$143,$B$144,CONCATENATE("Per=",$B$141),"Dts=H","Dir=H",CONCATENATE("Points=",$B$142),"Sort=R","Days=A","Fill=B",CONCATENATE("FX=", $B$140),"cols=60;rows=1")</f>
        <v>1975</v>
      </c>
      <c r="G233">
        <v>1932</v>
      </c>
      <c r="H233">
        <v>1927</v>
      </c>
      <c r="I233">
        <v>1789</v>
      </c>
      <c r="J233">
        <v>1799</v>
      </c>
      <c r="K233">
        <v>1747</v>
      </c>
      <c r="L233">
        <v>1739</v>
      </c>
      <c r="M233">
        <v>1730</v>
      </c>
      <c r="N233">
        <v>1693.4860000000001</v>
      </c>
      <c r="O233">
        <v>1625.5989999999999</v>
      </c>
      <c r="P233">
        <v>1595.6759999999999</v>
      </c>
      <c r="Q233">
        <v>1547.973</v>
      </c>
      <c r="R233">
        <v>1582.0809999999999</v>
      </c>
      <c r="S233">
        <v>1536.1420000000001</v>
      </c>
      <c r="T233">
        <v>1539.12</v>
      </c>
      <c r="U233">
        <v>1150.7529999999999</v>
      </c>
      <c r="V233">
        <v>1139.279</v>
      </c>
      <c r="W233">
        <v>1078.1579999999999</v>
      </c>
      <c r="X233">
        <v>1049.2190000000001</v>
      </c>
      <c r="Y233">
        <v>1073.2449999999999</v>
      </c>
      <c r="Z233">
        <v>1172.384</v>
      </c>
      <c r="AA233">
        <v>1054.451</v>
      </c>
      <c r="AB233">
        <v>927.69200000000001</v>
      </c>
      <c r="AC233">
        <v>833.226</v>
      </c>
      <c r="AD233">
        <v>844.52200000000005</v>
      </c>
      <c r="AE233">
        <v>892.72</v>
      </c>
      <c r="AF233">
        <v>894.005</v>
      </c>
      <c r="AG233">
        <v>1016.759</v>
      </c>
      <c r="AH233">
        <v>1314.904</v>
      </c>
      <c r="AI233">
        <v>1367.28</v>
      </c>
      <c r="AJ233">
        <v>1398.058</v>
      </c>
      <c r="AK233">
        <v>1325.5609999999999</v>
      </c>
      <c r="AL233">
        <v>1324.721</v>
      </c>
      <c r="AM233">
        <v>1297.8050000000001</v>
      </c>
      <c r="AN233">
        <v>1291.0129999999999</v>
      </c>
      <c r="AO233">
        <v>1284.0419999999999</v>
      </c>
      <c r="AP233">
        <v>1319.4559999999999</v>
      </c>
      <c r="AQ233">
        <v>1308.826</v>
      </c>
      <c r="AR233">
        <v>1291.2280000000001</v>
      </c>
      <c r="AS233">
        <v>1254.617</v>
      </c>
      <c r="AT233">
        <v>1270.829</v>
      </c>
      <c r="AU233">
        <v>1240.8030000000001</v>
      </c>
      <c r="AV233">
        <v>1230.5650000000001</v>
      </c>
      <c r="AW233">
        <v>1211.7840000000001</v>
      </c>
      <c r="AX233">
        <v>1201.097</v>
      </c>
      <c r="AY233">
        <v>1173.6220000000001</v>
      </c>
      <c r="AZ233">
        <v>1148.6849999999999</v>
      </c>
      <c r="BA233">
        <v>1093.548</v>
      </c>
      <c r="BB233">
        <v>1118.71</v>
      </c>
      <c r="BC233">
        <v>1057.6890000000001</v>
      </c>
      <c r="BD233">
        <v>988.505</v>
      </c>
      <c r="BE233">
        <v>922.12800000000004</v>
      </c>
      <c r="BF233">
        <v>925.85599999999999</v>
      </c>
      <c r="BG233">
        <v>964.9</v>
      </c>
      <c r="BH233">
        <v>962.01900000000001</v>
      </c>
      <c r="BI233">
        <v>946.87199999999996</v>
      </c>
      <c r="BJ233">
        <v>953.36</v>
      </c>
      <c r="BK233">
        <v>852.26700000000005</v>
      </c>
      <c r="BL233">
        <v>841.69200000000001</v>
      </c>
      <c r="BM233">
        <v>829.726</v>
      </c>
      <c r="BN233" t="str">
        <f>""</f>
        <v/>
      </c>
      <c r="BO233" t="str">
        <f>""</f>
        <v/>
      </c>
      <c r="BP233" t="str">
        <f>""</f>
        <v/>
      </c>
      <c r="BQ233" t="str">
        <f>""</f>
        <v/>
      </c>
      <c r="BR233" t="str">
        <f>""</f>
        <v/>
      </c>
      <c r="BS233" t="str">
        <f>""</f>
        <v/>
      </c>
      <c r="BT233" t="str">
        <f>""</f>
        <v/>
      </c>
      <c r="BU233" t="str">
        <f>""</f>
        <v/>
      </c>
      <c r="BV233" t="str">
        <f>""</f>
        <v/>
      </c>
      <c r="BW233" t="str">
        <f>""</f>
        <v/>
      </c>
      <c r="BX233" t="str">
        <f>""</f>
        <v/>
      </c>
      <c r="BY233" t="str">
        <f>""</f>
        <v/>
      </c>
      <c r="BZ233" t="str">
        <f>""</f>
        <v/>
      </c>
      <c r="CA233" t="str">
        <f>""</f>
        <v/>
      </c>
      <c r="CB233" t="str">
        <f>""</f>
        <v/>
      </c>
      <c r="CC233" t="str">
        <f>""</f>
        <v/>
      </c>
      <c r="CD233" t="str">
        <f>""</f>
        <v/>
      </c>
      <c r="CE233" t="str">
        <f>""</f>
        <v/>
      </c>
      <c r="CF233" t="str">
        <f>""</f>
        <v/>
      </c>
      <c r="CG233" t="str">
        <f>""</f>
        <v/>
      </c>
      <c r="CH233" t="str">
        <f>""</f>
        <v/>
      </c>
      <c r="CI233" t="str">
        <f>""</f>
        <v/>
      </c>
      <c r="CJ233" t="str">
        <f>""</f>
        <v/>
      </c>
      <c r="CK233" t="str">
        <f>""</f>
        <v/>
      </c>
      <c r="CL233" t="str">
        <f>""</f>
        <v/>
      </c>
      <c r="CM233" t="str">
        <f>""</f>
        <v/>
      </c>
      <c r="CN233" t="str">
        <f>""</f>
        <v/>
      </c>
      <c r="CO233" t="str">
        <f>""</f>
        <v/>
      </c>
      <c r="CP233" t="str">
        <f>""</f>
        <v/>
      </c>
      <c r="CQ233" t="str">
        <f>""</f>
        <v/>
      </c>
      <c r="CR233" t="str">
        <f>""</f>
        <v/>
      </c>
      <c r="CS233" t="str">
        <f>""</f>
        <v/>
      </c>
      <c r="CT233" t="str">
        <f>""</f>
        <v/>
      </c>
      <c r="CU233" t="str">
        <f>""</f>
        <v/>
      </c>
      <c r="CV233" t="str">
        <f>""</f>
        <v/>
      </c>
      <c r="CW233" t="str">
        <f>""</f>
        <v/>
      </c>
      <c r="CX233" t="str">
        <f>""</f>
        <v/>
      </c>
      <c r="CY233" t="str">
        <f>""</f>
        <v/>
      </c>
      <c r="CZ233" t="str">
        <f>""</f>
        <v/>
      </c>
      <c r="DA233" t="str">
        <f>""</f>
        <v/>
      </c>
      <c r="DB233" t="str">
        <f>""</f>
        <v/>
      </c>
      <c r="DC233" t="str">
        <f>""</f>
        <v/>
      </c>
      <c r="DD233" t="str">
        <f>""</f>
        <v/>
      </c>
      <c r="DE233" t="str">
        <f>""</f>
        <v/>
      </c>
      <c r="DF233" t="str">
        <f>""</f>
        <v/>
      </c>
      <c r="DG233" t="str">
        <f>""</f>
        <v/>
      </c>
      <c r="DH233" t="str">
        <f>""</f>
        <v/>
      </c>
      <c r="DI233" t="str">
        <f>""</f>
        <v/>
      </c>
      <c r="DJ233" t="str">
        <f>""</f>
        <v/>
      </c>
      <c r="DK233" t="str">
        <f>""</f>
        <v/>
      </c>
      <c r="DL233" t="str">
        <f>""</f>
        <v/>
      </c>
      <c r="DM233" t="str">
        <f>""</f>
        <v/>
      </c>
      <c r="DN233" t="str">
        <f>""</f>
        <v/>
      </c>
      <c r="DO233" t="str">
        <f>""</f>
        <v/>
      </c>
      <c r="DP233" t="str">
        <f>""</f>
        <v/>
      </c>
      <c r="DQ233" t="str">
        <f>""</f>
        <v/>
      </c>
      <c r="DR233" t="str">
        <f>""</f>
        <v/>
      </c>
      <c r="DS233" t="str">
        <f>""</f>
        <v/>
      </c>
      <c r="DT233" t="str">
        <f>""</f>
        <v/>
      </c>
      <c r="DU233" t="str">
        <f>""</f>
        <v/>
      </c>
    </row>
    <row r="234" spans="1:125" x14ac:dyDescent="0.25">
      <c r="A234" t="str">
        <f>$A$96</f>
        <v xml:space="preserve">            First Citizens BancShares Inc/</v>
      </c>
      <c r="B234" t="str">
        <f>$B$96</f>
        <v>FCNCA US Equity</v>
      </c>
      <c r="C234" t="str">
        <f>$C$96</f>
        <v>FR531</v>
      </c>
      <c r="D234" t="str">
        <f>$D$96</f>
        <v>FED_INVT_IN_RE_VENTURES</v>
      </c>
      <c r="E234" t="str">
        <f>$E$96</f>
        <v>Dynamic</v>
      </c>
      <c r="F234">
        <f ca="1">_xll.BDH($B$96,$C$96,$B$143,$B$144,CONCATENATE("Per=",$B$141),"Dts=H","Dir=H",CONCATENATE("Points=",$B$142),"Sort=R","Days=A","Fill=B",CONCATENATE("FX=", $B$140),"cols=60;rows=1")</f>
        <v>2381</v>
      </c>
      <c r="G234">
        <v>2087</v>
      </c>
      <c r="H234">
        <v>2113</v>
      </c>
      <c r="I234">
        <v>26</v>
      </c>
      <c r="J234">
        <v>31.856999999999999</v>
      </c>
      <c r="K234">
        <v>31.451000000000001</v>
      </c>
      <c r="L234">
        <v>36.472000000000001</v>
      </c>
      <c r="M234">
        <v>35.929000000000002</v>
      </c>
      <c r="N234">
        <v>36.210999999999999</v>
      </c>
      <c r="O234">
        <v>38.651000000000003</v>
      </c>
      <c r="P234">
        <v>48.463000000000001</v>
      </c>
      <c r="Q234">
        <v>68.954999999999998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 t="str">
        <f>""</f>
        <v/>
      </c>
      <c r="BO234" t="str">
        <f>""</f>
        <v/>
      </c>
      <c r="BP234" t="str">
        <f>""</f>
        <v/>
      </c>
      <c r="BQ234" t="str">
        <f>""</f>
        <v/>
      </c>
      <c r="BR234" t="str">
        <f>""</f>
        <v/>
      </c>
      <c r="BS234" t="str">
        <f>""</f>
        <v/>
      </c>
      <c r="BT234" t="str">
        <f>""</f>
        <v/>
      </c>
      <c r="BU234" t="str">
        <f>""</f>
        <v/>
      </c>
      <c r="BV234" t="str">
        <f>""</f>
        <v/>
      </c>
      <c r="BW234" t="str">
        <f>""</f>
        <v/>
      </c>
      <c r="BX234" t="str">
        <f>""</f>
        <v/>
      </c>
      <c r="BY234" t="str">
        <f>""</f>
        <v/>
      </c>
      <c r="BZ234" t="str">
        <f>""</f>
        <v/>
      </c>
      <c r="CA234" t="str">
        <f>""</f>
        <v/>
      </c>
      <c r="CB234" t="str">
        <f>""</f>
        <v/>
      </c>
      <c r="CC234" t="str">
        <f>""</f>
        <v/>
      </c>
      <c r="CD234" t="str">
        <f>""</f>
        <v/>
      </c>
      <c r="CE234" t="str">
        <f>""</f>
        <v/>
      </c>
      <c r="CF234" t="str">
        <f>""</f>
        <v/>
      </c>
      <c r="CG234" t="str">
        <f>""</f>
        <v/>
      </c>
      <c r="CH234" t="str">
        <f>""</f>
        <v/>
      </c>
      <c r="CI234" t="str">
        <f>""</f>
        <v/>
      </c>
      <c r="CJ234" t="str">
        <f>""</f>
        <v/>
      </c>
      <c r="CK234" t="str">
        <f>""</f>
        <v/>
      </c>
      <c r="CL234" t="str">
        <f>""</f>
        <v/>
      </c>
      <c r="CM234" t="str">
        <f>""</f>
        <v/>
      </c>
      <c r="CN234" t="str">
        <f>""</f>
        <v/>
      </c>
      <c r="CO234" t="str">
        <f>""</f>
        <v/>
      </c>
      <c r="CP234" t="str">
        <f>""</f>
        <v/>
      </c>
      <c r="CQ234" t="str">
        <f>""</f>
        <v/>
      </c>
      <c r="CR234" t="str">
        <f>""</f>
        <v/>
      </c>
      <c r="CS234" t="str">
        <f>""</f>
        <v/>
      </c>
      <c r="CT234" t="str">
        <f>""</f>
        <v/>
      </c>
      <c r="CU234" t="str">
        <f>""</f>
        <v/>
      </c>
      <c r="CV234" t="str">
        <f>""</f>
        <v/>
      </c>
      <c r="CW234" t="str">
        <f>""</f>
        <v/>
      </c>
      <c r="CX234" t="str">
        <f>""</f>
        <v/>
      </c>
      <c r="CY234" t="str">
        <f>""</f>
        <v/>
      </c>
      <c r="CZ234" t="str">
        <f>""</f>
        <v/>
      </c>
      <c r="DA234" t="str">
        <f>""</f>
        <v/>
      </c>
      <c r="DB234" t="str">
        <f>""</f>
        <v/>
      </c>
      <c r="DC234" t="str">
        <f>""</f>
        <v/>
      </c>
      <c r="DD234" t="str">
        <f>""</f>
        <v/>
      </c>
      <c r="DE234" t="str">
        <f>""</f>
        <v/>
      </c>
      <c r="DF234" t="str">
        <f>""</f>
        <v/>
      </c>
      <c r="DG234" t="str">
        <f>""</f>
        <v/>
      </c>
      <c r="DH234" t="str">
        <f>""</f>
        <v/>
      </c>
      <c r="DI234" t="str">
        <f>""</f>
        <v/>
      </c>
      <c r="DJ234" t="str">
        <f>""</f>
        <v/>
      </c>
      <c r="DK234" t="str">
        <f>""</f>
        <v/>
      </c>
      <c r="DL234" t="str">
        <f>""</f>
        <v/>
      </c>
      <c r="DM234" t="str">
        <f>""</f>
        <v/>
      </c>
      <c r="DN234" t="str">
        <f>""</f>
        <v/>
      </c>
      <c r="DO234" t="str">
        <f>""</f>
        <v/>
      </c>
      <c r="DP234" t="str">
        <f>""</f>
        <v/>
      </c>
      <c r="DQ234" t="str">
        <f>""</f>
        <v/>
      </c>
      <c r="DR234" t="str">
        <f>""</f>
        <v/>
      </c>
      <c r="DS234" t="str">
        <f>""</f>
        <v/>
      </c>
      <c r="DT234" t="str">
        <f>""</f>
        <v/>
      </c>
      <c r="DU234" t="str">
        <f>""</f>
        <v/>
      </c>
    </row>
    <row r="235" spans="1:125" x14ac:dyDescent="0.25">
      <c r="A235" t="str">
        <f>$A$97</f>
        <v xml:space="preserve">            Flagstar Financial Inc</v>
      </c>
      <c r="B235" t="str">
        <f>$B$97</f>
        <v>FLG US Equity</v>
      </c>
      <c r="C235" t="str">
        <f>$C$97</f>
        <v>FR531</v>
      </c>
      <c r="D235" t="str">
        <f>$D$97</f>
        <v>FED_INVT_IN_RE_VENTURES</v>
      </c>
      <c r="E235" t="str">
        <f>$E$97</f>
        <v>Dynamic</v>
      </c>
      <c r="F235">
        <f ca="1">_xll.BDH($B$97,$C$97,$B$143,$B$144,CONCATENATE("Per=",$B$141),"Dts=H","Dir=H",CONCATENATE("Points=",$B$142),"Sort=R","Days=A","Fill=B",CONCATENATE("FX=", $B$140),"cols=60;rows=1")</f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 t="str">
        <f>""</f>
        <v/>
      </c>
      <c r="BO235" t="str">
        <f>""</f>
        <v/>
      </c>
      <c r="BP235" t="str">
        <f>""</f>
        <v/>
      </c>
      <c r="BQ235" t="str">
        <f>""</f>
        <v/>
      </c>
      <c r="BR235" t="str">
        <f>""</f>
        <v/>
      </c>
      <c r="BS235" t="str">
        <f>""</f>
        <v/>
      </c>
      <c r="BT235" t="str">
        <f>""</f>
        <v/>
      </c>
      <c r="BU235" t="str">
        <f>""</f>
        <v/>
      </c>
      <c r="BV235" t="str">
        <f>""</f>
        <v/>
      </c>
      <c r="BW235" t="str">
        <f>""</f>
        <v/>
      </c>
      <c r="BX235" t="str">
        <f>""</f>
        <v/>
      </c>
      <c r="BY235" t="str">
        <f>""</f>
        <v/>
      </c>
      <c r="BZ235" t="str">
        <f>""</f>
        <v/>
      </c>
      <c r="CA235" t="str">
        <f>""</f>
        <v/>
      </c>
      <c r="CB235" t="str">
        <f>""</f>
        <v/>
      </c>
      <c r="CC235" t="str">
        <f>""</f>
        <v/>
      </c>
      <c r="CD235" t="str">
        <f>""</f>
        <v/>
      </c>
      <c r="CE235" t="str">
        <f>""</f>
        <v/>
      </c>
      <c r="CF235" t="str">
        <f>""</f>
        <v/>
      </c>
      <c r="CG235" t="str">
        <f>""</f>
        <v/>
      </c>
      <c r="CH235" t="str">
        <f>""</f>
        <v/>
      </c>
      <c r="CI235" t="str">
        <f>""</f>
        <v/>
      </c>
      <c r="CJ235" t="str">
        <f>""</f>
        <v/>
      </c>
      <c r="CK235" t="str">
        <f>""</f>
        <v/>
      </c>
      <c r="CL235" t="str">
        <f>""</f>
        <v/>
      </c>
      <c r="CM235" t="str">
        <f>""</f>
        <v/>
      </c>
      <c r="CN235" t="str">
        <f>""</f>
        <v/>
      </c>
      <c r="CO235" t="str">
        <f>""</f>
        <v/>
      </c>
      <c r="CP235" t="str">
        <f>""</f>
        <v/>
      </c>
      <c r="CQ235" t="str">
        <f>""</f>
        <v/>
      </c>
      <c r="CR235" t="str">
        <f>""</f>
        <v/>
      </c>
      <c r="CS235" t="str">
        <f>""</f>
        <v/>
      </c>
      <c r="CT235" t="str">
        <f>""</f>
        <v/>
      </c>
      <c r="CU235" t="str">
        <f>""</f>
        <v/>
      </c>
      <c r="CV235" t="str">
        <f>""</f>
        <v/>
      </c>
      <c r="CW235" t="str">
        <f>""</f>
        <v/>
      </c>
      <c r="CX235" t="str">
        <f>""</f>
        <v/>
      </c>
      <c r="CY235" t="str">
        <f>""</f>
        <v/>
      </c>
      <c r="CZ235" t="str">
        <f>""</f>
        <v/>
      </c>
      <c r="DA235" t="str">
        <f>""</f>
        <v/>
      </c>
      <c r="DB235" t="str">
        <f>""</f>
        <v/>
      </c>
      <c r="DC235" t="str">
        <f>""</f>
        <v/>
      </c>
      <c r="DD235" t="str">
        <f>""</f>
        <v/>
      </c>
      <c r="DE235" t="str">
        <f>""</f>
        <v/>
      </c>
      <c r="DF235" t="str">
        <f>""</f>
        <v/>
      </c>
      <c r="DG235" t="str">
        <f>""</f>
        <v/>
      </c>
      <c r="DH235" t="str">
        <f>""</f>
        <v/>
      </c>
      <c r="DI235" t="str">
        <f>""</f>
        <v/>
      </c>
      <c r="DJ235" t="str">
        <f>""</f>
        <v/>
      </c>
      <c r="DK235" t="str">
        <f>""</f>
        <v/>
      </c>
      <c r="DL235" t="str">
        <f>""</f>
        <v/>
      </c>
      <c r="DM235" t="str">
        <f>""</f>
        <v/>
      </c>
      <c r="DN235" t="str">
        <f>""</f>
        <v/>
      </c>
      <c r="DO235" t="str">
        <f>""</f>
        <v/>
      </c>
      <c r="DP235" t="str">
        <f>""</f>
        <v/>
      </c>
      <c r="DQ235" t="str">
        <f>""</f>
        <v/>
      </c>
      <c r="DR235" t="str">
        <f>""</f>
        <v/>
      </c>
      <c r="DS235" t="str">
        <f>""</f>
        <v/>
      </c>
      <c r="DT235" t="str">
        <f>""</f>
        <v/>
      </c>
      <c r="DU235" t="str">
        <f>""</f>
        <v/>
      </c>
    </row>
    <row r="236" spans="1:125" x14ac:dyDescent="0.25">
      <c r="A236" t="str">
        <f>$A$98</f>
        <v xml:space="preserve">            Huntington Bancshares Inc/OH</v>
      </c>
      <c r="B236" t="str">
        <f>$B$98</f>
        <v>HBAN US Equity</v>
      </c>
      <c r="C236" t="str">
        <f>$C$98</f>
        <v>FR531</v>
      </c>
      <c r="D236" t="str">
        <f>$D$98</f>
        <v>FED_INVT_IN_RE_VENTURES</v>
      </c>
      <c r="E236" t="str">
        <f>$E$98</f>
        <v>Dynamic</v>
      </c>
      <c r="F236">
        <f ca="1">_xll.BDH($B$98,$C$98,$B$143,$B$144,CONCATENATE("Per=",$B$141),"Dts=H","Dir=H",CONCATENATE("Points=",$B$142),"Sort=R","Days=A","Fill=B",CONCATENATE("FX=", $B$140),"cols=60;rows=1")</f>
        <v>2434.2820000000002</v>
      </c>
      <c r="G236">
        <v>2329.2240000000002</v>
      </c>
      <c r="H236">
        <v>2477.0619999999999</v>
      </c>
      <c r="I236">
        <v>2409.9670000000001</v>
      </c>
      <c r="J236">
        <v>2358.4070000000002</v>
      </c>
      <c r="K236">
        <v>2287.5839999999998</v>
      </c>
      <c r="L236">
        <v>2243.451</v>
      </c>
      <c r="M236">
        <v>2198.7550000000001</v>
      </c>
      <c r="N236">
        <v>2157.08</v>
      </c>
      <c r="O236">
        <v>1965.461</v>
      </c>
      <c r="P236">
        <v>1787.143</v>
      </c>
      <c r="Q236">
        <v>1739.5619999999999</v>
      </c>
      <c r="R236">
        <v>1722.32</v>
      </c>
      <c r="S236">
        <v>1504.9090000000001</v>
      </c>
      <c r="T236">
        <v>1355.2629999999999</v>
      </c>
      <c r="U236">
        <v>987.31399999999996</v>
      </c>
      <c r="V236">
        <v>999.505</v>
      </c>
      <c r="W236">
        <v>917.14</v>
      </c>
      <c r="X236">
        <v>912.32600000000002</v>
      </c>
      <c r="Y236">
        <v>858.73900000000003</v>
      </c>
      <c r="Z236">
        <v>791.88599999999997</v>
      </c>
      <c r="AA236">
        <v>789.92399999999998</v>
      </c>
      <c r="AB236">
        <v>810.625</v>
      </c>
      <c r="AC236">
        <v>762.45600000000002</v>
      </c>
      <c r="AD236">
        <v>786.26800000000003</v>
      </c>
      <c r="AE236">
        <v>774.28</v>
      </c>
      <c r="AF236">
        <v>708.18899999999996</v>
      </c>
      <c r="AG236">
        <v>710.38</v>
      </c>
      <c r="AH236">
        <v>711.84100000000001</v>
      </c>
      <c r="AI236">
        <v>715.69</v>
      </c>
      <c r="AJ236">
        <v>692.98400000000004</v>
      </c>
      <c r="AK236">
        <v>633.92100000000005</v>
      </c>
      <c r="AL236">
        <v>651.976</v>
      </c>
      <c r="AM236">
        <v>652.74099999999999</v>
      </c>
      <c r="AN236">
        <v>538.43299999999999</v>
      </c>
      <c r="AO236">
        <v>500.19299999999998</v>
      </c>
      <c r="AP236">
        <v>515.91300000000001</v>
      </c>
      <c r="AQ236">
        <v>465.00700000000001</v>
      </c>
      <c r="AR236">
        <v>450.34100000000001</v>
      </c>
      <c r="AS236">
        <v>412.30500000000001</v>
      </c>
      <c r="AT236">
        <v>421.50900000000001</v>
      </c>
      <c r="AU236">
        <v>393.70600000000002</v>
      </c>
      <c r="AV236">
        <v>378.10199999999998</v>
      </c>
      <c r="AW236">
        <v>355.149</v>
      </c>
      <c r="AX236">
        <v>379.72</v>
      </c>
      <c r="AY236">
        <v>357.536</v>
      </c>
      <c r="AZ236">
        <v>339.75400000000002</v>
      </c>
      <c r="BA236">
        <v>322.86700000000002</v>
      </c>
      <c r="BB236">
        <v>386.62299999999999</v>
      </c>
      <c r="BC236">
        <v>391.56299999999999</v>
      </c>
      <c r="BD236">
        <v>378.21100000000001</v>
      </c>
      <c r="BE236">
        <v>400.06099999999998</v>
      </c>
      <c r="BF236">
        <v>399.77600000000001</v>
      </c>
      <c r="BG236">
        <v>369.685</v>
      </c>
      <c r="BH236">
        <v>350.53800000000001</v>
      </c>
      <c r="BI236">
        <v>337.08100000000002</v>
      </c>
      <c r="BJ236">
        <v>340.048</v>
      </c>
      <c r="BK236">
        <v>293.041</v>
      </c>
      <c r="BL236">
        <v>255.74600000000001</v>
      </c>
      <c r="BM236">
        <v>238.61799999999999</v>
      </c>
      <c r="BN236" t="str">
        <f>""</f>
        <v/>
      </c>
      <c r="BO236" t="str">
        <f>""</f>
        <v/>
      </c>
      <c r="BP236" t="str">
        <f>""</f>
        <v/>
      </c>
      <c r="BQ236" t="str">
        <f>""</f>
        <v/>
      </c>
      <c r="BR236" t="str">
        <f>""</f>
        <v/>
      </c>
      <c r="BS236" t="str">
        <f>""</f>
        <v/>
      </c>
      <c r="BT236" t="str">
        <f>""</f>
        <v/>
      </c>
      <c r="BU236" t="str">
        <f>""</f>
        <v/>
      </c>
      <c r="BV236" t="str">
        <f>""</f>
        <v/>
      </c>
      <c r="BW236" t="str">
        <f>""</f>
        <v/>
      </c>
      <c r="BX236" t="str">
        <f>""</f>
        <v/>
      </c>
      <c r="BY236" t="str">
        <f>""</f>
        <v/>
      </c>
      <c r="BZ236" t="str">
        <f>""</f>
        <v/>
      </c>
      <c r="CA236" t="str">
        <f>""</f>
        <v/>
      </c>
      <c r="CB236" t="str">
        <f>""</f>
        <v/>
      </c>
      <c r="CC236" t="str">
        <f>""</f>
        <v/>
      </c>
      <c r="CD236" t="str">
        <f>""</f>
        <v/>
      </c>
      <c r="CE236" t="str">
        <f>""</f>
        <v/>
      </c>
      <c r="CF236" t="str">
        <f>""</f>
        <v/>
      </c>
      <c r="CG236" t="str">
        <f>""</f>
        <v/>
      </c>
      <c r="CH236" t="str">
        <f>""</f>
        <v/>
      </c>
      <c r="CI236" t="str">
        <f>""</f>
        <v/>
      </c>
      <c r="CJ236" t="str">
        <f>""</f>
        <v/>
      </c>
      <c r="CK236" t="str">
        <f>""</f>
        <v/>
      </c>
      <c r="CL236" t="str">
        <f>""</f>
        <v/>
      </c>
      <c r="CM236" t="str">
        <f>""</f>
        <v/>
      </c>
      <c r="CN236" t="str">
        <f>""</f>
        <v/>
      </c>
      <c r="CO236" t="str">
        <f>""</f>
        <v/>
      </c>
      <c r="CP236" t="str">
        <f>""</f>
        <v/>
      </c>
      <c r="CQ236" t="str">
        <f>""</f>
        <v/>
      </c>
      <c r="CR236" t="str">
        <f>""</f>
        <v/>
      </c>
      <c r="CS236" t="str">
        <f>""</f>
        <v/>
      </c>
      <c r="CT236" t="str">
        <f>""</f>
        <v/>
      </c>
      <c r="CU236" t="str">
        <f>""</f>
        <v/>
      </c>
      <c r="CV236" t="str">
        <f>""</f>
        <v/>
      </c>
      <c r="CW236" t="str">
        <f>""</f>
        <v/>
      </c>
      <c r="CX236" t="str">
        <f>""</f>
        <v/>
      </c>
      <c r="CY236" t="str">
        <f>""</f>
        <v/>
      </c>
      <c r="CZ236" t="str">
        <f>""</f>
        <v/>
      </c>
      <c r="DA236" t="str">
        <f>""</f>
        <v/>
      </c>
      <c r="DB236" t="str">
        <f>""</f>
        <v/>
      </c>
      <c r="DC236" t="str">
        <f>""</f>
        <v/>
      </c>
      <c r="DD236" t="str">
        <f>""</f>
        <v/>
      </c>
      <c r="DE236" t="str">
        <f>""</f>
        <v/>
      </c>
      <c r="DF236" t="str">
        <f>""</f>
        <v/>
      </c>
      <c r="DG236" t="str">
        <f>""</f>
        <v/>
      </c>
      <c r="DH236" t="str">
        <f>""</f>
        <v/>
      </c>
      <c r="DI236" t="str">
        <f>""</f>
        <v/>
      </c>
      <c r="DJ236" t="str">
        <f>""</f>
        <v/>
      </c>
      <c r="DK236" t="str">
        <f>""</f>
        <v/>
      </c>
      <c r="DL236" t="str">
        <f>""</f>
        <v/>
      </c>
      <c r="DM236" t="str">
        <f>""</f>
        <v/>
      </c>
      <c r="DN236" t="str">
        <f>""</f>
        <v/>
      </c>
      <c r="DO236" t="str">
        <f>""</f>
        <v/>
      </c>
      <c r="DP236" t="str">
        <f>""</f>
        <v/>
      </c>
      <c r="DQ236" t="str">
        <f>""</f>
        <v/>
      </c>
      <c r="DR236" t="str">
        <f>""</f>
        <v/>
      </c>
      <c r="DS236" t="str">
        <f>""</f>
        <v/>
      </c>
      <c r="DT236" t="str">
        <f>""</f>
        <v/>
      </c>
      <c r="DU236" t="str">
        <f>""</f>
        <v/>
      </c>
    </row>
    <row r="237" spans="1:125" x14ac:dyDescent="0.25">
      <c r="A237" t="str">
        <f>$A$99</f>
        <v xml:space="preserve">            JPMorgan Chase &amp; Co</v>
      </c>
      <c r="B237" t="str">
        <f>$B$99</f>
        <v>JPM US Equity</v>
      </c>
      <c r="C237" t="str">
        <f>$C$99</f>
        <v>FR531</v>
      </c>
      <c r="D237" t="str">
        <f>$D$99</f>
        <v>FED_INVT_IN_RE_VENTURES</v>
      </c>
      <c r="E237" t="str">
        <f>$E$99</f>
        <v>Dynamic</v>
      </c>
      <c r="F237">
        <f ca="1">_xll.BDH($B$99,$C$99,$B$143,$B$144,CONCATENATE("Per=",$B$141),"Dts=H","Dir=H",CONCATENATE("Points=",$B$142),"Sort=R","Days=A","Fill=B",CONCATENATE("FX=", $B$140),"cols=60;rows=1")</f>
        <v>18465</v>
      </c>
      <c r="G237">
        <v>17877</v>
      </c>
      <c r="H237">
        <v>17024</v>
      </c>
      <c r="I237">
        <v>17000</v>
      </c>
      <c r="J237">
        <v>17707</v>
      </c>
      <c r="K237">
        <v>16685</v>
      </c>
      <c r="L237">
        <v>16463</v>
      </c>
      <c r="M237">
        <v>14584</v>
      </c>
      <c r="N237">
        <v>14583</v>
      </c>
      <c r="O237">
        <v>14039</v>
      </c>
      <c r="P237">
        <v>13660</v>
      </c>
      <c r="Q237">
        <v>13438</v>
      </c>
      <c r="R237">
        <v>13220</v>
      </c>
      <c r="S237">
        <v>12001</v>
      </c>
      <c r="T237">
        <v>11416</v>
      </c>
      <c r="U237">
        <v>11435</v>
      </c>
      <c r="V237">
        <v>11844</v>
      </c>
      <c r="W237">
        <v>10882</v>
      </c>
      <c r="X237">
        <v>11074</v>
      </c>
      <c r="Y237">
        <v>10891</v>
      </c>
      <c r="Z237">
        <v>10607</v>
      </c>
      <c r="AA237">
        <v>10283</v>
      </c>
      <c r="AB237">
        <v>9860</v>
      </c>
      <c r="AC237">
        <v>9145</v>
      </c>
      <c r="AD237">
        <v>9067</v>
      </c>
      <c r="AE237">
        <v>8780</v>
      </c>
      <c r="AF237">
        <v>8682</v>
      </c>
      <c r="AG237">
        <v>8844</v>
      </c>
      <c r="AH237">
        <v>8344</v>
      </c>
      <c r="AI237">
        <v>8881</v>
      </c>
      <c r="AJ237">
        <v>9038</v>
      </c>
      <c r="AK237">
        <v>9401</v>
      </c>
      <c r="AL237">
        <v>9508</v>
      </c>
      <c r="AM237">
        <v>8958</v>
      </c>
      <c r="AN237">
        <v>8819</v>
      </c>
      <c r="AO237">
        <v>8490</v>
      </c>
      <c r="AP237">
        <v>8510</v>
      </c>
      <c r="AQ237">
        <v>8270</v>
      </c>
      <c r="AR237">
        <v>8096</v>
      </c>
      <c r="AS237">
        <v>7870</v>
      </c>
      <c r="AT237">
        <v>8056</v>
      </c>
      <c r="AU237">
        <v>7848</v>
      </c>
      <c r="AV237">
        <v>7881</v>
      </c>
      <c r="AW237">
        <v>6836</v>
      </c>
      <c r="AX237">
        <v>6815</v>
      </c>
      <c r="AY237">
        <v>6680</v>
      </c>
      <c r="AZ237">
        <v>1198</v>
      </c>
      <c r="BA237">
        <v>1277</v>
      </c>
      <c r="BB237">
        <v>1356</v>
      </c>
      <c r="BC237">
        <v>1443</v>
      </c>
      <c r="BD237">
        <v>1526</v>
      </c>
      <c r="BE237">
        <v>1608</v>
      </c>
      <c r="BF237">
        <v>1686</v>
      </c>
      <c r="BG237">
        <v>1778</v>
      </c>
      <c r="BH237">
        <v>1861</v>
      </c>
      <c r="BI237">
        <v>1943</v>
      </c>
      <c r="BJ237">
        <v>2022</v>
      </c>
      <c r="BK237">
        <v>2084</v>
      </c>
      <c r="BL237">
        <v>2168</v>
      </c>
      <c r="BM237">
        <v>2249</v>
      </c>
      <c r="BN237" t="str">
        <f>""</f>
        <v/>
      </c>
      <c r="BO237" t="str">
        <f>""</f>
        <v/>
      </c>
      <c r="BP237" t="str">
        <f>""</f>
        <v/>
      </c>
      <c r="BQ237" t="str">
        <f>""</f>
        <v/>
      </c>
      <c r="BR237" t="str">
        <f>""</f>
        <v/>
      </c>
      <c r="BS237" t="str">
        <f>""</f>
        <v/>
      </c>
      <c r="BT237" t="str">
        <f>""</f>
        <v/>
      </c>
      <c r="BU237" t="str">
        <f>""</f>
        <v/>
      </c>
      <c r="BV237" t="str">
        <f>""</f>
        <v/>
      </c>
      <c r="BW237" t="str">
        <f>""</f>
        <v/>
      </c>
      <c r="BX237" t="str">
        <f>""</f>
        <v/>
      </c>
      <c r="BY237" t="str">
        <f>""</f>
        <v/>
      </c>
      <c r="BZ237" t="str">
        <f>""</f>
        <v/>
      </c>
      <c r="CA237" t="str">
        <f>""</f>
        <v/>
      </c>
      <c r="CB237" t="str">
        <f>""</f>
        <v/>
      </c>
      <c r="CC237" t="str">
        <f>""</f>
        <v/>
      </c>
      <c r="CD237" t="str">
        <f>""</f>
        <v/>
      </c>
      <c r="CE237" t="str">
        <f>""</f>
        <v/>
      </c>
      <c r="CF237" t="str">
        <f>""</f>
        <v/>
      </c>
      <c r="CG237" t="str">
        <f>""</f>
        <v/>
      </c>
      <c r="CH237" t="str">
        <f>""</f>
        <v/>
      </c>
      <c r="CI237" t="str">
        <f>""</f>
        <v/>
      </c>
      <c r="CJ237" t="str">
        <f>""</f>
        <v/>
      </c>
      <c r="CK237" t="str">
        <f>""</f>
        <v/>
      </c>
      <c r="CL237" t="str">
        <f>""</f>
        <v/>
      </c>
      <c r="CM237" t="str">
        <f>""</f>
        <v/>
      </c>
      <c r="CN237" t="str">
        <f>""</f>
        <v/>
      </c>
      <c r="CO237" t="str">
        <f>""</f>
        <v/>
      </c>
      <c r="CP237" t="str">
        <f>""</f>
        <v/>
      </c>
      <c r="CQ237" t="str">
        <f>""</f>
        <v/>
      </c>
      <c r="CR237" t="str">
        <f>""</f>
        <v/>
      </c>
      <c r="CS237" t="str">
        <f>""</f>
        <v/>
      </c>
      <c r="CT237" t="str">
        <f>""</f>
        <v/>
      </c>
      <c r="CU237" t="str">
        <f>""</f>
        <v/>
      </c>
      <c r="CV237" t="str">
        <f>""</f>
        <v/>
      </c>
      <c r="CW237" t="str">
        <f>""</f>
        <v/>
      </c>
      <c r="CX237" t="str">
        <f>""</f>
        <v/>
      </c>
      <c r="CY237" t="str">
        <f>""</f>
        <v/>
      </c>
      <c r="CZ237" t="str">
        <f>""</f>
        <v/>
      </c>
      <c r="DA237" t="str">
        <f>""</f>
        <v/>
      </c>
      <c r="DB237" t="str">
        <f>""</f>
        <v/>
      </c>
      <c r="DC237" t="str">
        <f>""</f>
        <v/>
      </c>
      <c r="DD237" t="str">
        <f>""</f>
        <v/>
      </c>
      <c r="DE237" t="str">
        <f>""</f>
        <v/>
      </c>
      <c r="DF237" t="str">
        <f>""</f>
        <v/>
      </c>
      <c r="DG237" t="str">
        <f>""</f>
        <v/>
      </c>
      <c r="DH237" t="str">
        <f>""</f>
        <v/>
      </c>
      <c r="DI237" t="str">
        <f>""</f>
        <v/>
      </c>
      <c r="DJ237" t="str">
        <f>""</f>
        <v/>
      </c>
      <c r="DK237" t="str">
        <f>""</f>
        <v/>
      </c>
      <c r="DL237" t="str">
        <f>""</f>
        <v/>
      </c>
      <c r="DM237" t="str">
        <f>""</f>
        <v/>
      </c>
      <c r="DN237" t="str">
        <f>""</f>
        <v/>
      </c>
      <c r="DO237" t="str">
        <f>""</f>
        <v/>
      </c>
      <c r="DP237" t="str">
        <f>""</f>
        <v/>
      </c>
      <c r="DQ237" t="str">
        <f>""</f>
        <v/>
      </c>
      <c r="DR237" t="str">
        <f>""</f>
        <v/>
      </c>
      <c r="DS237" t="str">
        <f>""</f>
        <v/>
      </c>
      <c r="DT237" t="str">
        <f>""</f>
        <v/>
      </c>
      <c r="DU237" t="str">
        <f>""</f>
        <v/>
      </c>
    </row>
    <row r="238" spans="1:125" x14ac:dyDescent="0.25">
      <c r="A238" t="str">
        <f>$A$100</f>
        <v xml:space="preserve">            KeyCorp</v>
      </c>
      <c r="B238" t="str">
        <f>$B$100</f>
        <v>KEY US Equity</v>
      </c>
      <c r="C238" t="str">
        <f>$C$100</f>
        <v>FR531</v>
      </c>
      <c r="D238" t="str">
        <f>$D$100</f>
        <v>FED_INVT_IN_RE_VENTURES</v>
      </c>
      <c r="E238" t="str">
        <f>$E$100</f>
        <v>Dynamic</v>
      </c>
      <c r="F238">
        <f ca="1">_xll.BDH($B$100,$C$100,$B$143,$B$144,CONCATENATE("Per=",$B$141),"Dts=H","Dir=H",CONCATENATE("Points=",$B$142),"Sort=R","Days=A","Fill=B",CONCATENATE("FX=", $B$140),"cols=60;rows=1")</f>
        <v>2566.3420000000001</v>
      </c>
      <c r="G238">
        <v>2216.7190000000001</v>
      </c>
      <c r="H238">
        <v>2186.6080000000002</v>
      </c>
      <c r="I238">
        <v>2188.1460000000002</v>
      </c>
      <c r="J238">
        <v>2341.8180000000002</v>
      </c>
      <c r="K238">
        <v>2118.326</v>
      </c>
      <c r="L238">
        <v>2195.473</v>
      </c>
      <c r="M238">
        <v>2080.6840000000002</v>
      </c>
      <c r="N238">
        <v>1879.972</v>
      </c>
      <c r="O238">
        <v>1799.7470000000001</v>
      </c>
      <c r="P238">
        <v>1634.105</v>
      </c>
      <c r="Q238">
        <v>1596.8489999999999</v>
      </c>
      <c r="R238">
        <v>1591.423</v>
      </c>
      <c r="S238">
        <v>1473.0609999999999</v>
      </c>
      <c r="T238">
        <v>1483.528</v>
      </c>
      <c r="U238">
        <v>1418.5820000000001</v>
      </c>
      <c r="V238">
        <v>1441.89</v>
      </c>
      <c r="W238">
        <v>1425.3420000000001</v>
      </c>
      <c r="X238">
        <v>1381.9259999999999</v>
      </c>
      <c r="Y238">
        <v>1458.105</v>
      </c>
      <c r="Z238">
        <v>1508.453</v>
      </c>
      <c r="AA238">
        <v>1461.5329999999999</v>
      </c>
      <c r="AB238">
        <v>1466.7929999999999</v>
      </c>
      <c r="AC238">
        <v>1465.47</v>
      </c>
      <c r="AD238">
        <v>1482.1130000000001</v>
      </c>
      <c r="AE238">
        <v>1332.0740000000001</v>
      </c>
      <c r="AF238">
        <v>1338.614</v>
      </c>
      <c r="AG238">
        <v>1342.0809999999999</v>
      </c>
      <c r="AH238">
        <v>1334.653</v>
      </c>
      <c r="AI238">
        <v>1298.6300000000001</v>
      </c>
      <c r="AJ238">
        <v>1296.002</v>
      </c>
      <c r="AK238">
        <v>1274.7560000000001</v>
      </c>
      <c r="AL238">
        <v>1288.931</v>
      </c>
      <c r="AM238">
        <v>1277.3969999999999</v>
      </c>
      <c r="AN238">
        <v>1080.9359999999999</v>
      </c>
      <c r="AO238">
        <v>1144.818</v>
      </c>
      <c r="AP238">
        <v>1185.797</v>
      </c>
      <c r="AQ238">
        <v>1139.22</v>
      </c>
      <c r="AR238">
        <v>1119.212</v>
      </c>
      <c r="AS238">
        <v>1057.8869999999999</v>
      </c>
      <c r="AT238">
        <v>1075.903</v>
      </c>
      <c r="AU238">
        <v>1042.9179999999999</v>
      </c>
      <c r="AV238">
        <v>1011.6</v>
      </c>
      <c r="AW238">
        <v>986.63099999999997</v>
      </c>
      <c r="AX238">
        <v>996.54499999999996</v>
      </c>
      <c r="AY238">
        <v>945.61599999999999</v>
      </c>
      <c r="AZ238">
        <v>949.46</v>
      </c>
      <c r="BA238">
        <v>957.73099999999999</v>
      </c>
      <c r="BB238">
        <v>959.63300000000004</v>
      </c>
      <c r="BC238">
        <v>930.84</v>
      </c>
      <c r="BD238">
        <v>943.976</v>
      </c>
      <c r="BE238">
        <v>951.89300000000003</v>
      </c>
      <c r="BF238">
        <v>966.65899999999999</v>
      </c>
      <c r="BG238">
        <v>943.95299999999997</v>
      </c>
      <c r="BH238">
        <v>964.54600000000005</v>
      </c>
      <c r="BI238">
        <v>922.476</v>
      </c>
      <c r="BJ238">
        <v>922.64400000000001</v>
      </c>
      <c r="BK238">
        <v>953.25800000000004</v>
      </c>
      <c r="BL238">
        <v>957.42700000000002</v>
      </c>
      <c r="BM238">
        <v>956.99</v>
      </c>
      <c r="BN238" t="str">
        <f>""</f>
        <v/>
      </c>
      <c r="BO238" t="str">
        <f>""</f>
        <v/>
      </c>
      <c r="BP238" t="str">
        <f>""</f>
        <v/>
      </c>
      <c r="BQ238" t="str">
        <f>""</f>
        <v/>
      </c>
      <c r="BR238" t="str">
        <f>""</f>
        <v/>
      </c>
      <c r="BS238" t="str">
        <f>""</f>
        <v/>
      </c>
      <c r="BT238" t="str">
        <f>""</f>
        <v/>
      </c>
      <c r="BU238" t="str">
        <f>""</f>
        <v/>
      </c>
      <c r="BV238" t="str">
        <f>""</f>
        <v/>
      </c>
      <c r="BW238" t="str">
        <f>""</f>
        <v/>
      </c>
      <c r="BX238" t="str">
        <f>""</f>
        <v/>
      </c>
      <c r="BY238" t="str">
        <f>""</f>
        <v/>
      </c>
      <c r="BZ238" t="str">
        <f>""</f>
        <v/>
      </c>
      <c r="CA238" t="str">
        <f>""</f>
        <v/>
      </c>
      <c r="CB238" t="str">
        <f>""</f>
        <v/>
      </c>
      <c r="CC238" t="str">
        <f>""</f>
        <v/>
      </c>
      <c r="CD238" t="str">
        <f>""</f>
        <v/>
      </c>
      <c r="CE238" t="str">
        <f>""</f>
        <v/>
      </c>
      <c r="CF238" t="str">
        <f>""</f>
        <v/>
      </c>
      <c r="CG238" t="str">
        <f>""</f>
        <v/>
      </c>
      <c r="CH238" t="str">
        <f>""</f>
        <v/>
      </c>
      <c r="CI238" t="str">
        <f>""</f>
        <v/>
      </c>
      <c r="CJ238" t="str">
        <f>""</f>
        <v/>
      </c>
      <c r="CK238" t="str">
        <f>""</f>
        <v/>
      </c>
      <c r="CL238" t="str">
        <f>""</f>
        <v/>
      </c>
      <c r="CM238" t="str">
        <f>""</f>
        <v/>
      </c>
      <c r="CN238" t="str">
        <f>""</f>
        <v/>
      </c>
      <c r="CO238" t="str">
        <f>""</f>
        <v/>
      </c>
      <c r="CP238" t="str">
        <f>""</f>
        <v/>
      </c>
      <c r="CQ238" t="str">
        <f>""</f>
        <v/>
      </c>
      <c r="CR238" t="str">
        <f>""</f>
        <v/>
      </c>
      <c r="CS238" t="str">
        <f>""</f>
        <v/>
      </c>
      <c r="CT238" t="str">
        <f>""</f>
        <v/>
      </c>
      <c r="CU238" t="str">
        <f>""</f>
        <v/>
      </c>
      <c r="CV238" t="str">
        <f>""</f>
        <v/>
      </c>
      <c r="CW238" t="str">
        <f>""</f>
        <v/>
      </c>
      <c r="CX238" t="str">
        <f>""</f>
        <v/>
      </c>
      <c r="CY238" t="str">
        <f>""</f>
        <v/>
      </c>
      <c r="CZ238" t="str">
        <f>""</f>
        <v/>
      </c>
      <c r="DA238" t="str">
        <f>""</f>
        <v/>
      </c>
      <c r="DB238" t="str">
        <f>""</f>
        <v/>
      </c>
      <c r="DC238" t="str">
        <f>""</f>
        <v/>
      </c>
      <c r="DD238" t="str">
        <f>""</f>
        <v/>
      </c>
      <c r="DE238" t="str">
        <f>""</f>
        <v/>
      </c>
      <c r="DF238" t="str">
        <f>""</f>
        <v/>
      </c>
      <c r="DG238" t="str">
        <f>""</f>
        <v/>
      </c>
      <c r="DH238" t="str">
        <f>""</f>
        <v/>
      </c>
      <c r="DI238" t="str">
        <f>""</f>
        <v/>
      </c>
      <c r="DJ238" t="str">
        <f>""</f>
        <v/>
      </c>
      <c r="DK238" t="str">
        <f>""</f>
        <v/>
      </c>
      <c r="DL238" t="str">
        <f>""</f>
        <v/>
      </c>
      <c r="DM238" t="str">
        <f>""</f>
        <v/>
      </c>
      <c r="DN238" t="str">
        <f>""</f>
        <v/>
      </c>
      <c r="DO238" t="str">
        <f>""</f>
        <v/>
      </c>
      <c r="DP238" t="str">
        <f>""</f>
        <v/>
      </c>
      <c r="DQ238" t="str">
        <f>""</f>
        <v/>
      </c>
      <c r="DR238" t="str">
        <f>""</f>
        <v/>
      </c>
      <c r="DS238" t="str">
        <f>""</f>
        <v/>
      </c>
      <c r="DT238" t="str">
        <f>""</f>
        <v/>
      </c>
      <c r="DU238" t="str">
        <f>""</f>
        <v/>
      </c>
    </row>
    <row r="239" spans="1:125" x14ac:dyDescent="0.25">
      <c r="A239" t="str">
        <f>$A$101</f>
        <v xml:space="preserve">            M&amp;T Bank Corp</v>
      </c>
      <c r="B239" t="str">
        <f>$B$101</f>
        <v>MTB US Equity</v>
      </c>
      <c r="C239" t="str">
        <f>$C$101</f>
        <v>FR531</v>
      </c>
      <c r="D239" t="str">
        <f>$D$101</f>
        <v>FED_INVT_IN_RE_VENTURES</v>
      </c>
      <c r="E239" t="str">
        <f>$E$101</f>
        <v>Dynamic</v>
      </c>
      <c r="F239">
        <f ca="1">_xll.BDH($B$101,$C$101,$B$143,$B$144,CONCATENATE("Per=",$B$141),"Dts=H","Dir=H",CONCATENATE("Points=",$B$142),"Sort=R","Days=A","Fill=B",CONCATENATE("FX=", $B$140),"cols=60;rows=1")</f>
        <v>1421.039</v>
      </c>
      <c r="G239">
        <v>1403.0260000000001</v>
      </c>
      <c r="H239">
        <v>1371.29</v>
      </c>
      <c r="I239">
        <v>1363.443</v>
      </c>
      <c r="J239">
        <v>1380.9449999999999</v>
      </c>
      <c r="K239">
        <v>1313.194</v>
      </c>
      <c r="L239">
        <v>1356.941</v>
      </c>
      <c r="M239">
        <v>1352.0219999999999</v>
      </c>
      <c r="N239">
        <v>1512.498</v>
      </c>
      <c r="O239">
        <v>1382.037</v>
      </c>
      <c r="P239">
        <v>1402.5</v>
      </c>
      <c r="Q239">
        <v>857.83</v>
      </c>
      <c r="R239">
        <v>887.48199999999997</v>
      </c>
      <c r="S239">
        <v>812.63599999999997</v>
      </c>
      <c r="T239">
        <v>824.74699999999996</v>
      </c>
      <c r="U239">
        <v>842.47900000000004</v>
      </c>
      <c r="V239">
        <v>850.91</v>
      </c>
      <c r="W239">
        <v>781.05399999999997</v>
      </c>
      <c r="X239">
        <v>734.54</v>
      </c>
      <c r="Y239">
        <v>724.36500000000001</v>
      </c>
      <c r="Z239">
        <v>747.98</v>
      </c>
      <c r="AA239">
        <v>603.54899999999998</v>
      </c>
      <c r="AB239">
        <v>573.37400000000002</v>
      </c>
      <c r="AC239">
        <v>517.31100000000004</v>
      </c>
      <c r="AD239">
        <v>522.76700000000005</v>
      </c>
      <c r="AE239">
        <v>457.39100000000002</v>
      </c>
      <c r="AF239">
        <v>463.44299999999998</v>
      </c>
      <c r="AG239">
        <v>406.89299999999997</v>
      </c>
      <c r="AH239">
        <v>405.05200000000002</v>
      </c>
      <c r="AI239">
        <v>319.63299999999998</v>
      </c>
      <c r="AJ239">
        <v>322.149</v>
      </c>
      <c r="AK239">
        <v>305.87700000000001</v>
      </c>
      <c r="AL239">
        <v>294.44499999999999</v>
      </c>
      <c r="AM239">
        <v>268.46300000000002</v>
      </c>
      <c r="AN239">
        <v>260.48599999999999</v>
      </c>
      <c r="AO239">
        <v>271.49599999999998</v>
      </c>
      <c r="AP239">
        <v>276.20999999999998</v>
      </c>
      <c r="AQ239">
        <v>282.71899999999999</v>
      </c>
      <c r="AR239">
        <v>276.14299999999997</v>
      </c>
      <c r="AS239">
        <v>302.53300000000002</v>
      </c>
      <c r="AT239">
        <v>233.82</v>
      </c>
      <c r="AU239">
        <v>246.80799999999999</v>
      </c>
      <c r="AV239">
        <v>225.35900000000001</v>
      </c>
      <c r="AW239">
        <v>236.79599999999999</v>
      </c>
      <c r="AX239">
        <v>222.33600000000001</v>
      </c>
      <c r="AY239">
        <v>234.21899999999999</v>
      </c>
      <c r="AZ239">
        <v>245.95099999999999</v>
      </c>
      <c r="BA239">
        <v>238.029</v>
      </c>
      <c r="BB239">
        <v>247.768</v>
      </c>
      <c r="BC239">
        <v>241.76</v>
      </c>
      <c r="BD239">
        <v>247.08500000000001</v>
      </c>
      <c r="BE239">
        <v>242.25200000000001</v>
      </c>
      <c r="BF239">
        <v>250.02</v>
      </c>
      <c r="BG239">
        <v>214.69900000000001</v>
      </c>
      <c r="BH239">
        <v>223.255</v>
      </c>
      <c r="BI239">
        <v>230.91499999999999</v>
      </c>
      <c r="BJ239">
        <v>239.13800000000001</v>
      </c>
      <c r="BK239">
        <v>226.8</v>
      </c>
      <c r="BL239">
        <v>218.34299999999999</v>
      </c>
      <c r="BM239">
        <v>225.39500000000001</v>
      </c>
      <c r="BN239" t="str">
        <f>""</f>
        <v/>
      </c>
      <c r="BO239" t="str">
        <f>""</f>
        <v/>
      </c>
      <c r="BP239" t="str">
        <f>""</f>
        <v/>
      </c>
      <c r="BQ239" t="str">
        <f>""</f>
        <v/>
      </c>
      <c r="BR239" t="str">
        <f>""</f>
        <v/>
      </c>
      <c r="BS239" t="str">
        <f>""</f>
        <v/>
      </c>
      <c r="BT239" t="str">
        <f>""</f>
        <v/>
      </c>
      <c r="BU239" t="str">
        <f>""</f>
        <v/>
      </c>
      <c r="BV239" t="str">
        <f>""</f>
        <v/>
      </c>
      <c r="BW239" t="str">
        <f>""</f>
        <v/>
      </c>
      <c r="BX239" t="str">
        <f>""</f>
        <v/>
      </c>
      <c r="BY239" t="str">
        <f>""</f>
        <v/>
      </c>
      <c r="BZ239" t="str">
        <f>""</f>
        <v/>
      </c>
      <c r="CA239" t="str">
        <f>""</f>
        <v/>
      </c>
      <c r="CB239" t="str">
        <f>""</f>
        <v/>
      </c>
      <c r="CC239" t="str">
        <f>""</f>
        <v/>
      </c>
      <c r="CD239" t="str">
        <f>""</f>
        <v/>
      </c>
      <c r="CE239" t="str">
        <f>""</f>
        <v/>
      </c>
      <c r="CF239" t="str">
        <f>""</f>
        <v/>
      </c>
      <c r="CG239" t="str">
        <f>""</f>
        <v/>
      </c>
      <c r="CH239" t="str">
        <f>""</f>
        <v/>
      </c>
      <c r="CI239" t="str">
        <f>""</f>
        <v/>
      </c>
      <c r="CJ239" t="str">
        <f>""</f>
        <v/>
      </c>
      <c r="CK239" t="str">
        <f>""</f>
        <v/>
      </c>
      <c r="CL239" t="str">
        <f>""</f>
        <v/>
      </c>
      <c r="CM239" t="str">
        <f>""</f>
        <v/>
      </c>
      <c r="CN239" t="str">
        <f>""</f>
        <v/>
      </c>
      <c r="CO239" t="str">
        <f>""</f>
        <v/>
      </c>
      <c r="CP239" t="str">
        <f>""</f>
        <v/>
      </c>
      <c r="CQ239" t="str">
        <f>""</f>
        <v/>
      </c>
      <c r="CR239" t="str">
        <f>""</f>
        <v/>
      </c>
      <c r="CS239" t="str">
        <f>""</f>
        <v/>
      </c>
      <c r="CT239" t="str">
        <f>""</f>
        <v/>
      </c>
      <c r="CU239" t="str">
        <f>""</f>
        <v/>
      </c>
      <c r="CV239" t="str">
        <f>""</f>
        <v/>
      </c>
      <c r="CW239" t="str">
        <f>""</f>
        <v/>
      </c>
      <c r="CX239" t="str">
        <f>""</f>
        <v/>
      </c>
      <c r="CY239" t="str">
        <f>""</f>
        <v/>
      </c>
      <c r="CZ239" t="str">
        <f>""</f>
        <v/>
      </c>
      <c r="DA239" t="str">
        <f>""</f>
        <v/>
      </c>
      <c r="DB239" t="str">
        <f>""</f>
        <v/>
      </c>
      <c r="DC239" t="str">
        <f>""</f>
        <v/>
      </c>
      <c r="DD239" t="str">
        <f>""</f>
        <v/>
      </c>
      <c r="DE239" t="str">
        <f>""</f>
        <v/>
      </c>
      <c r="DF239" t="str">
        <f>""</f>
        <v/>
      </c>
      <c r="DG239" t="str">
        <f>""</f>
        <v/>
      </c>
      <c r="DH239" t="str">
        <f>""</f>
        <v/>
      </c>
      <c r="DI239" t="str">
        <f>""</f>
        <v/>
      </c>
      <c r="DJ239" t="str">
        <f>""</f>
        <v/>
      </c>
      <c r="DK239" t="str">
        <f>""</f>
        <v/>
      </c>
      <c r="DL239" t="str">
        <f>""</f>
        <v/>
      </c>
      <c r="DM239" t="str">
        <f>""</f>
        <v/>
      </c>
      <c r="DN239" t="str">
        <f>""</f>
        <v/>
      </c>
      <c r="DO239" t="str">
        <f>""</f>
        <v/>
      </c>
      <c r="DP239" t="str">
        <f>""</f>
        <v/>
      </c>
      <c r="DQ239" t="str">
        <f>""</f>
        <v/>
      </c>
      <c r="DR239" t="str">
        <f>""</f>
        <v/>
      </c>
      <c r="DS239" t="str">
        <f>""</f>
        <v/>
      </c>
      <c r="DT239" t="str">
        <f>""</f>
        <v/>
      </c>
      <c r="DU239" t="str">
        <f>""</f>
        <v/>
      </c>
    </row>
    <row r="240" spans="1:125" x14ac:dyDescent="0.25">
      <c r="A240" t="str">
        <f>$A$102</f>
        <v xml:space="preserve">            PNC Financial Services Group I</v>
      </c>
      <c r="B240" t="str">
        <f>$B$102</f>
        <v>PNC US Equity</v>
      </c>
      <c r="C240" t="str">
        <f>$C$102</f>
        <v>FR531</v>
      </c>
      <c r="D240" t="str">
        <f>$D$102</f>
        <v>FED_INVT_IN_RE_VENTURES</v>
      </c>
      <c r="E240" t="str">
        <f>$E$102</f>
        <v>Dynamic</v>
      </c>
      <c r="F240">
        <f ca="1">_xll.BDH($B$102,$C$102,$B$143,$B$144,CONCATENATE("Per=",$B$141),"Dts=H","Dir=H",CONCATENATE("Points=",$B$142),"Sort=R","Days=A","Fill=B",CONCATENATE("FX=", $B$140),"cols=60;rows=1")</f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 t="str">
        <f>""</f>
        <v/>
      </c>
      <c r="BO240" t="str">
        <f>""</f>
        <v/>
      </c>
      <c r="BP240" t="str">
        <f>""</f>
        <v/>
      </c>
      <c r="BQ240" t="str">
        <f>""</f>
        <v/>
      </c>
      <c r="BR240" t="str">
        <f>""</f>
        <v/>
      </c>
      <c r="BS240" t="str">
        <f>""</f>
        <v/>
      </c>
      <c r="BT240" t="str">
        <f>""</f>
        <v/>
      </c>
      <c r="BU240" t="str">
        <f>""</f>
        <v/>
      </c>
      <c r="BV240" t="str">
        <f>""</f>
        <v/>
      </c>
      <c r="BW240" t="str">
        <f>""</f>
        <v/>
      </c>
      <c r="BX240" t="str">
        <f>""</f>
        <v/>
      </c>
      <c r="BY240" t="str">
        <f>""</f>
        <v/>
      </c>
      <c r="BZ240" t="str">
        <f>""</f>
        <v/>
      </c>
      <c r="CA240" t="str">
        <f>""</f>
        <v/>
      </c>
      <c r="CB240" t="str">
        <f>""</f>
        <v/>
      </c>
      <c r="CC240" t="str">
        <f>""</f>
        <v/>
      </c>
      <c r="CD240" t="str">
        <f>""</f>
        <v/>
      </c>
      <c r="CE240" t="str">
        <f>""</f>
        <v/>
      </c>
      <c r="CF240" t="str">
        <f>""</f>
        <v/>
      </c>
      <c r="CG240" t="str">
        <f>""</f>
        <v/>
      </c>
      <c r="CH240" t="str">
        <f>""</f>
        <v/>
      </c>
      <c r="CI240" t="str">
        <f>""</f>
        <v/>
      </c>
      <c r="CJ240" t="str">
        <f>""</f>
        <v/>
      </c>
      <c r="CK240" t="str">
        <f>""</f>
        <v/>
      </c>
      <c r="CL240" t="str">
        <f>""</f>
        <v/>
      </c>
      <c r="CM240" t="str">
        <f>""</f>
        <v/>
      </c>
      <c r="CN240" t="str">
        <f>""</f>
        <v/>
      </c>
      <c r="CO240" t="str">
        <f>""</f>
        <v/>
      </c>
      <c r="CP240" t="str">
        <f>""</f>
        <v/>
      </c>
      <c r="CQ240" t="str">
        <f>""</f>
        <v/>
      </c>
      <c r="CR240" t="str">
        <f>""</f>
        <v/>
      </c>
      <c r="CS240" t="str">
        <f>""</f>
        <v/>
      </c>
      <c r="CT240" t="str">
        <f>""</f>
        <v/>
      </c>
      <c r="CU240" t="str">
        <f>""</f>
        <v/>
      </c>
      <c r="CV240" t="str">
        <f>""</f>
        <v/>
      </c>
      <c r="CW240" t="str">
        <f>""</f>
        <v/>
      </c>
      <c r="CX240" t="str">
        <f>""</f>
        <v/>
      </c>
      <c r="CY240" t="str">
        <f>""</f>
        <v/>
      </c>
      <c r="CZ240" t="str">
        <f>""</f>
        <v/>
      </c>
      <c r="DA240" t="str">
        <f>""</f>
        <v/>
      </c>
      <c r="DB240" t="str">
        <f>""</f>
        <v/>
      </c>
      <c r="DC240" t="str">
        <f>""</f>
        <v/>
      </c>
      <c r="DD240" t="str">
        <f>""</f>
        <v/>
      </c>
      <c r="DE240" t="str">
        <f>""</f>
        <v/>
      </c>
      <c r="DF240" t="str">
        <f>""</f>
        <v/>
      </c>
      <c r="DG240" t="str">
        <f>""</f>
        <v/>
      </c>
      <c r="DH240" t="str">
        <f>""</f>
        <v/>
      </c>
      <c r="DI240" t="str">
        <f>""</f>
        <v/>
      </c>
      <c r="DJ240" t="str">
        <f>""</f>
        <v/>
      </c>
      <c r="DK240" t="str">
        <f>""</f>
        <v/>
      </c>
      <c r="DL240" t="str">
        <f>""</f>
        <v/>
      </c>
      <c r="DM240" t="str">
        <f>""</f>
        <v/>
      </c>
      <c r="DN240" t="str">
        <f>""</f>
        <v/>
      </c>
      <c r="DO240" t="str">
        <f>""</f>
        <v/>
      </c>
      <c r="DP240" t="str">
        <f>""</f>
        <v/>
      </c>
      <c r="DQ240" t="str">
        <f>""</f>
        <v/>
      </c>
      <c r="DR240" t="str">
        <f>""</f>
        <v/>
      </c>
      <c r="DS240" t="str">
        <f>""</f>
        <v/>
      </c>
      <c r="DT240" t="str">
        <f>""</f>
        <v/>
      </c>
      <c r="DU240" t="str">
        <f>""</f>
        <v/>
      </c>
    </row>
    <row r="241" spans="1:125" x14ac:dyDescent="0.25">
      <c r="A241" t="str">
        <f>$A$103</f>
        <v xml:space="preserve">            Regions Financial Corp</v>
      </c>
      <c r="B241" t="str">
        <f>$B$103</f>
        <v>RF US Equity</v>
      </c>
      <c r="C241" t="str">
        <f>$C$103</f>
        <v>FR531</v>
      </c>
      <c r="D241" t="str">
        <f>$D$103</f>
        <v>FED_INVT_IN_RE_VENTURES</v>
      </c>
      <c r="E241" t="str">
        <f>$E$103</f>
        <v>Dynamic</v>
      </c>
      <c r="F241">
        <f ca="1">_xll.BDH($B$103,$C$103,$B$143,$B$144,CONCATENATE("Per=",$B$141),"Dts=H","Dir=H",CONCATENATE("Points=",$B$142),"Sort=R","Days=A","Fill=B",CONCATENATE("FX=", $B$140),"cols=60;rows=1")</f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 t="str">
        <f>""</f>
        <v/>
      </c>
      <c r="BO241" t="str">
        <f>""</f>
        <v/>
      </c>
      <c r="BP241" t="str">
        <f>""</f>
        <v/>
      </c>
      <c r="BQ241" t="str">
        <f>""</f>
        <v/>
      </c>
      <c r="BR241" t="str">
        <f>""</f>
        <v/>
      </c>
      <c r="BS241" t="str">
        <f>""</f>
        <v/>
      </c>
      <c r="BT241" t="str">
        <f>""</f>
        <v/>
      </c>
      <c r="BU241" t="str">
        <f>""</f>
        <v/>
      </c>
      <c r="BV241" t="str">
        <f>""</f>
        <v/>
      </c>
      <c r="BW241" t="str">
        <f>""</f>
        <v/>
      </c>
      <c r="BX241" t="str">
        <f>""</f>
        <v/>
      </c>
      <c r="BY241" t="str">
        <f>""</f>
        <v/>
      </c>
      <c r="BZ241" t="str">
        <f>""</f>
        <v/>
      </c>
      <c r="CA241" t="str">
        <f>""</f>
        <v/>
      </c>
      <c r="CB241" t="str">
        <f>""</f>
        <v/>
      </c>
      <c r="CC241" t="str">
        <f>""</f>
        <v/>
      </c>
      <c r="CD241" t="str">
        <f>""</f>
        <v/>
      </c>
      <c r="CE241" t="str">
        <f>""</f>
        <v/>
      </c>
      <c r="CF241" t="str">
        <f>""</f>
        <v/>
      </c>
      <c r="CG241" t="str">
        <f>""</f>
        <v/>
      </c>
      <c r="CH241" t="str">
        <f>""</f>
        <v/>
      </c>
      <c r="CI241" t="str">
        <f>""</f>
        <v/>
      </c>
      <c r="CJ241" t="str">
        <f>""</f>
        <v/>
      </c>
      <c r="CK241" t="str">
        <f>""</f>
        <v/>
      </c>
      <c r="CL241" t="str">
        <f>""</f>
        <v/>
      </c>
      <c r="CM241" t="str">
        <f>""</f>
        <v/>
      </c>
      <c r="CN241" t="str">
        <f>""</f>
        <v/>
      </c>
      <c r="CO241" t="str">
        <f>""</f>
        <v/>
      </c>
      <c r="CP241" t="str">
        <f>""</f>
        <v/>
      </c>
      <c r="CQ241" t="str">
        <f>""</f>
        <v/>
      </c>
      <c r="CR241" t="str">
        <f>""</f>
        <v/>
      </c>
      <c r="CS241" t="str">
        <f>""</f>
        <v/>
      </c>
      <c r="CT241" t="str">
        <f>""</f>
        <v/>
      </c>
      <c r="CU241" t="str">
        <f>""</f>
        <v/>
      </c>
      <c r="CV241" t="str">
        <f>""</f>
        <v/>
      </c>
      <c r="CW241" t="str">
        <f>""</f>
        <v/>
      </c>
      <c r="CX241" t="str">
        <f>""</f>
        <v/>
      </c>
      <c r="CY241" t="str">
        <f>""</f>
        <v/>
      </c>
      <c r="CZ241" t="str">
        <f>""</f>
        <v/>
      </c>
      <c r="DA241" t="str">
        <f>""</f>
        <v/>
      </c>
      <c r="DB241" t="str">
        <f>""</f>
        <v/>
      </c>
      <c r="DC241" t="str">
        <f>""</f>
        <v/>
      </c>
      <c r="DD241" t="str">
        <f>""</f>
        <v/>
      </c>
      <c r="DE241" t="str">
        <f>""</f>
        <v/>
      </c>
      <c r="DF241" t="str">
        <f>""</f>
        <v/>
      </c>
      <c r="DG241" t="str">
        <f>""</f>
        <v/>
      </c>
      <c r="DH241" t="str">
        <f>""</f>
        <v/>
      </c>
      <c r="DI241" t="str">
        <f>""</f>
        <v/>
      </c>
      <c r="DJ241" t="str">
        <f>""</f>
        <v/>
      </c>
      <c r="DK241" t="str">
        <f>""</f>
        <v/>
      </c>
      <c r="DL241" t="str">
        <f>""</f>
        <v/>
      </c>
      <c r="DM241" t="str">
        <f>""</f>
        <v/>
      </c>
      <c r="DN241" t="str">
        <f>""</f>
        <v/>
      </c>
      <c r="DO241" t="str">
        <f>""</f>
        <v/>
      </c>
      <c r="DP241" t="str">
        <f>""</f>
        <v/>
      </c>
      <c r="DQ241" t="str">
        <f>""</f>
        <v/>
      </c>
      <c r="DR241" t="str">
        <f>""</f>
        <v/>
      </c>
      <c r="DS241" t="str">
        <f>""</f>
        <v/>
      </c>
      <c r="DT241" t="str">
        <f>""</f>
        <v/>
      </c>
      <c r="DU241" t="str">
        <f>""</f>
        <v/>
      </c>
    </row>
    <row r="242" spans="1:125" x14ac:dyDescent="0.25">
      <c r="A242" t="str">
        <f>$A$104</f>
        <v xml:space="preserve">            Truist Financial Corp</v>
      </c>
      <c r="B242" t="str">
        <f>$B$104</f>
        <v>TFC US Equity</v>
      </c>
      <c r="C242" t="str">
        <f>$C$104</f>
        <v>FR531</v>
      </c>
      <c r="D242" t="str">
        <f>$D$104</f>
        <v>FED_INVT_IN_RE_VENTURES</v>
      </c>
      <c r="E242" t="str">
        <f>$E$104</f>
        <v>Dynamic</v>
      </c>
      <c r="F242">
        <f ca="1">_xll.BDH($B$104,$C$104,$B$143,$B$144,CONCATENATE("Per=",$B$141),"Dts=H","Dir=H",CONCATENATE("Points=",$B$142),"Sort=R","Days=A","Fill=B",CONCATENATE("FX=", $B$140),"cols=60;rows=1")</f>
        <v>82</v>
      </c>
      <c r="G242">
        <v>58</v>
      </c>
      <c r="H242">
        <v>59</v>
      </c>
      <c r="I242">
        <v>57</v>
      </c>
      <c r="J242">
        <v>49</v>
      </c>
      <c r="K242">
        <v>48</v>
      </c>
      <c r="L242">
        <v>46</v>
      </c>
      <c r="M242">
        <v>44</v>
      </c>
      <c r="N242">
        <v>14</v>
      </c>
      <c r="O242">
        <v>13</v>
      </c>
      <c r="P242">
        <v>14</v>
      </c>
      <c r="Q242">
        <v>12</v>
      </c>
      <c r="R242">
        <v>9</v>
      </c>
      <c r="S242">
        <v>6</v>
      </c>
      <c r="T242">
        <v>8</v>
      </c>
      <c r="U242">
        <v>4</v>
      </c>
      <c r="V242">
        <v>5</v>
      </c>
      <c r="W242">
        <v>5</v>
      </c>
      <c r="X242">
        <v>5</v>
      </c>
      <c r="Y242">
        <v>5</v>
      </c>
      <c r="Z242">
        <v>5</v>
      </c>
      <c r="AA242">
        <v>7</v>
      </c>
      <c r="AB242">
        <v>7</v>
      </c>
      <c r="AC242">
        <v>7</v>
      </c>
      <c r="AD242">
        <v>7</v>
      </c>
      <c r="AE242">
        <v>8</v>
      </c>
      <c r="AF242">
        <v>7</v>
      </c>
      <c r="AG242">
        <v>8</v>
      </c>
      <c r="AH242">
        <v>8</v>
      </c>
      <c r="AI242">
        <v>8</v>
      </c>
      <c r="AJ242">
        <v>8</v>
      </c>
      <c r="AK242">
        <v>8.02</v>
      </c>
      <c r="AL242">
        <v>6.024</v>
      </c>
      <c r="AM242">
        <v>5.5410000000000004</v>
      </c>
      <c r="AN242">
        <v>5.8310000000000004</v>
      </c>
      <c r="AO242">
        <v>6.1120000000000001</v>
      </c>
      <c r="AP242">
        <v>6.1959999999999997</v>
      </c>
      <c r="AQ242">
        <v>6.2560000000000002</v>
      </c>
      <c r="AR242">
        <v>6.25</v>
      </c>
      <c r="AS242">
        <v>3.88</v>
      </c>
      <c r="AT242">
        <v>3.831</v>
      </c>
      <c r="AU242">
        <v>2.6920000000000002</v>
      </c>
      <c r="AV242">
        <v>3.234</v>
      </c>
      <c r="AW242">
        <v>3.238</v>
      </c>
      <c r="AX242">
        <v>4.0830000000000002</v>
      </c>
      <c r="AY242">
        <v>2.2090000000000001</v>
      </c>
      <c r="AZ242">
        <v>2.1110000000000002</v>
      </c>
      <c r="BA242">
        <v>2.1960000000000002</v>
      </c>
      <c r="BB242">
        <v>2.5289999999999999</v>
      </c>
      <c r="BC242">
        <v>1.9139999999999999</v>
      </c>
      <c r="BD242">
        <v>1.9359999999999999</v>
      </c>
      <c r="BE242">
        <v>2.0379999999999998</v>
      </c>
      <c r="BF242">
        <v>2.0379999999999998</v>
      </c>
      <c r="BG242">
        <v>2.0379999999999998</v>
      </c>
      <c r="BH242">
        <v>2.3210000000000002</v>
      </c>
      <c r="BI242">
        <v>2.3210000000000002</v>
      </c>
      <c r="BJ242">
        <v>0</v>
      </c>
      <c r="BK242">
        <v>0</v>
      </c>
      <c r="BL242">
        <v>0</v>
      </c>
      <c r="BM242">
        <v>0</v>
      </c>
      <c r="BN242" t="str">
        <f>""</f>
        <v/>
      </c>
      <c r="BO242" t="str">
        <f>""</f>
        <v/>
      </c>
      <c r="BP242" t="str">
        <f>""</f>
        <v/>
      </c>
      <c r="BQ242" t="str">
        <f>""</f>
        <v/>
      </c>
      <c r="BR242" t="str">
        <f>""</f>
        <v/>
      </c>
      <c r="BS242" t="str">
        <f>""</f>
        <v/>
      </c>
      <c r="BT242" t="str">
        <f>""</f>
        <v/>
      </c>
      <c r="BU242" t="str">
        <f>""</f>
        <v/>
      </c>
      <c r="BV242" t="str">
        <f>""</f>
        <v/>
      </c>
      <c r="BW242" t="str">
        <f>""</f>
        <v/>
      </c>
      <c r="BX242" t="str">
        <f>""</f>
        <v/>
      </c>
      <c r="BY242" t="str">
        <f>""</f>
        <v/>
      </c>
      <c r="BZ242" t="str">
        <f>""</f>
        <v/>
      </c>
      <c r="CA242" t="str">
        <f>""</f>
        <v/>
      </c>
      <c r="CB242" t="str">
        <f>""</f>
        <v/>
      </c>
      <c r="CC242" t="str">
        <f>""</f>
        <v/>
      </c>
      <c r="CD242" t="str">
        <f>""</f>
        <v/>
      </c>
      <c r="CE242" t="str">
        <f>""</f>
        <v/>
      </c>
      <c r="CF242" t="str">
        <f>""</f>
        <v/>
      </c>
      <c r="CG242" t="str">
        <f>""</f>
        <v/>
      </c>
      <c r="CH242" t="str">
        <f>""</f>
        <v/>
      </c>
      <c r="CI242" t="str">
        <f>""</f>
        <v/>
      </c>
      <c r="CJ242" t="str">
        <f>""</f>
        <v/>
      </c>
      <c r="CK242" t="str">
        <f>""</f>
        <v/>
      </c>
      <c r="CL242" t="str">
        <f>""</f>
        <v/>
      </c>
      <c r="CM242" t="str">
        <f>""</f>
        <v/>
      </c>
      <c r="CN242" t="str">
        <f>""</f>
        <v/>
      </c>
      <c r="CO242" t="str">
        <f>""</f>
        <v/>
      </c>
      <c r="CP242" t="str">
        <f>""</f>
        <v/>
      </c>
      <c r="CQ242" t="str">
        <f>""</f>
        <v/>
      </c>
      <c r="CR242" t="str">
        <f>""</f>
        <v/>
      </c>
      <c r="CS242" t="str">
        <f>""</f>
        <v/>
      </c>
      <c r="CT242" t="str">
        <f>""</f>
        <v/>
      </c>
      <c r="CU242" t="str">
        <f>""</f>
        <v/>
      </c>
      <c r="CV242" t="str">
        <f>""</f>
        <v/>
      </c>
      <c r="CW242" t="str">
        <f>""</f>
        <v/>
      </c>
      <c r="CX242" t="str">
        <f>""</f>
        <v/>
      </c>
      <c r="CY242" t="str">
        <f>""</f>
        <v/>
      </c>
      <c r="CZ242" t="str">
        <f>""</f>
        <v/>
      </c>
      <c r="DA242" t="str">
        <f>""</f>
        <v/>
      </c>
      <c r="DB242" t="str">
        <f>""</f>
        <v/>
      </c>
      <c r="DC242" t="str">
        <f>""</f>
        <v/>
      </c>
      <c r="DD242" t="str">
        <f>""</f>
        <v/>
      </c>
      <c r="DE242" t="str">
        <f>""</f>
        <v/>
      </c>
      <c r="DF242" t="str">
        <f>""</f>
        <v/>
      </c>
      <c r="DG242" t="str">
        <f>""</f>
        <v/>
      </c>
      <c r="DH242" t="str">
        <f>""</f>
        <v/>
      </c>
      <c r="DI242" t="str">
        <f>""</f>
        <v/>
      </c>
      <c r="DJ242" t="str">
        <f>""</f>
        <v/>
      </c>
      <c r="DK242" t="str">
        <f>""</f>
        <v/>
      </c>
      <c r="DL242" t="str">
        <f>""</f>
        <v/>
      </c>
      <c r="DM242" t="str">
        <f>""</f>
        <v/>
      </c>
      <c r="DN242" t="str">
        <f>""</f>
        <v/>
      </c>
      <c r="DO242" t="str">
        <f>""</f>
        <v/>
      </c>
      <c r="DP242" t="str">
        <f>""</f>
        <v/>
      </c>
      <c r="DQ242" t="str">
        <f>""</f>
        <v/>
      </c>
      <c r="DR242" t="str">
        <f>""</f>
        <v/>
      </c>
      <c r="DS242" t="str">
        <f>""</f>
        <v/>
      </c>
      <c r="DT242" t="str">
        <f>""</f>
        <v/>
      </c>
      <c r="DU242" t="str">
        <f>""</f>
        <v/>
      </c>
    </row>
    <row r="243" spans="1:125" x14ac:dyDescent="0.25">
      <c r="A243" t="str">
        <f>$A$105</f>
        <v xml:space="preserve">            US Bancorp</v>
      </c>
      <c r="B243" t="str">
        <f>$B$105</f>
        <v>USB US Equity</v>
      </c>
      <c r="C243" t="str">
        <f>$C$105</f>
        <v>FR531</v>
      </c>
      <c r="D243" t="str">
        <f>$D$105</f>
        <v>FED_INVT_IN_RE_VENTURES</v>
      </c>
      <c r="E243" t="str">
        <f>$E$105</f>
        <v>Dynamic</v>
      </c>
      <c r="F243">
        <f ca="1">_xll.BDH($B$105,$C$105,$B$143,$B$144,CONCATENATE("Per=",$B$141),"Dts=H","Dir=H",CONCATENATE("Points=",$B$142),"Sort=R","Days=A","Fill=B",CONCATENATE("FX=", $B$140),"cols=60;rows=1")</f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 t="str">
        <f>""</f>
        <v/>
      </c>
      <c r="BO243" t="str">
        <f>""</f>
        <v/>
      </c>
      <c r="BP243" t="str">
        <f>""</f>
        <v/>
      </c>
      <c r="BQ243" t="str">
        <f>""</f>
        <v/>
      </c>
      <c r="BR243" t="str">
        <f>""</f>
        <v/>
      </c>
      <c r="BS243" t="str">
        <f>""</f>
        <v/>
      </c>
      <c r="BT243" t="str">
        <f>""</f>
        <v/>
      </c>
      <c r="BU243" t="str">
        <f>""</f>
        <v/>
      </c>
      <c r="BV243" t="str">
        <f>""</f>
        <v/>
      </c>
      <c r="BW243" t="str">
        <f>""</f>
        <v/>
      </c>
      <c r="BX243" t="str">
        <f>""</f>
        <v/>
      </c>
      <c r="BY243" t="str">
        <f>""</f>
        <v/>
      </c>
      <c r="BZ243" t="str">
        <f>""</f>
        <v/>
      </c>
      <c r="CA243" t="str">
        <f>""</f>
        <v/>
      </c>
      <c r="CB243" t="str">
        <f>""</f>
        <v/>
      </c>
      <c r="CC243" t="str">
        <f>""</f>
        <v/>
      </c>
      <c r="CD243" t="str">
        <f>""</f>
        <v/>
      </c>
      <c r="CE243" t="str">
        <f>""</f>
        <v/>
      </c>
      <c r="CF243" t="str">
        <f>""</f>
        <v/>
      </c>
      <c r="CG243" t="str">
        <f>""</f>
        <v/>
      </c>
      <c r="CH243" t="str">
        <f>""</f>
        <v/>
      </c>
      <c r="CI243" t="str">
        <f>""</f>
        <v/>
      </c>
      <c r="CJ243" t="str">
        <f>""</f>
        <v/>
      </c>
      <c r="CK243" t="str">
        <f>""</f>
        <v/>
      </c>
      <c r="CL243" t="str">
        <f>""</f>
        <v/>
      </c>
      <c r="CM243" t="str">
        <f>""</f>
        <v/>
      </c>
      <c r="CN243" t="str">
        <f>""</f>
        <v/>
      </c>
      <c r="CO243" t="str">
        <f>""</f>
        <v/>
      </c>
      <c r="CP243" t="str">
        <f>""</f>
        <v/>
      </c>
      <c r="CQ243" t="str">
        <f>""</f>
        <v/>
      </c>
      <c r="CR243" t="str">
        <f>""</f>
        <v/>
      </c>
      <c r="CS243" t="str">
        <f>""</f>
        <v/>
      </c>
      <c r="CT243" t="str">
        <f>""</f>
        <v/>
      </c>
      <c r="CU243" t="str">
        <f>""</f>
        <v/>
      </c>
      <c r="CV243" t="str">
        <f>""</f>
        <v/>
      </c>
      <c r="CW243" t="str">
        <f>""</f>
        <v/>
      </c>
      <c r="CX243" t="str">
        <f>""</f>
        <v/>
      </c>
      <c r="CY243" t="str">
        <f>""</f>
        <v/>
      </c>
      <c r="CZ243" t="str">
        <f>""</f>
        <v/>
      </c>
      <c r="DA243" t="str">
        <f>""</f>
        <v/>
      </c>
      <c r="DB243" t="str">
        <f>""</f>
        <v/>
      </c>
      <c r="DC243" t="str">
        <f>""</f>
        <v/>
      </c>
      <c r="DD243" t="str">
        <f>""</f>
        <v/>
      </c>
      <c r="DE243" t="str">
        <f>""</f>
        <v/>
      </c>
      <c r="DF243" t="str">
        <f>""</f>
        <v/>
      </c>
      <c r="DG243" t="str">
        <f>""</f>
        <v/>
      </c>
      <c r="DH243" t="str">
        <f>""</f>
        <v/>
      </c>
      <c r="DI243" t="str">
        <f>""</f>
        <v/>
      </c>
      <c r="DJ243" t="str">
        <f>""</f>
        <v/>
      </c>
      <c r="DK243" t="str">
        <f>""</f>
        <v/>
      </c>
      <c r="DL243" t="str">
        <f>""</f>
        <v/>
      </c>
      <c r="DM243" t="str">
        <f>""</f>
        <v/>
      </c>
      <c r="DN243" t="str">
        <f>""</f>
        <v/>
      </c>
      <c r="DO243" t="str">
        <f>""</f>
        <v/>
      </c>
      <c r="DP243" t="str">
        <f>""</f>
        <v/>
      </c>
      <c r="DQ243" t="str">
        <f>""</f>
        <v/>
      </c>
      <c r="DR243" t="str">
        <f>""</f>
        <v/>
      </c>
      <c r="DS243" t="str">
        <f>""</f>
        <v/>
      </c>
      <c r="DT243" t="str">
        <f>""</f>
        <v/>
      </c>
      <c r="DU243" t="str">
        <f>""</f>
        <v/>
      </c>
    </row>
    <row r="244" spans="1:125" x14ac:dyDescent="0.25">
      <c r="A244" t="str">
        <f>$A$106</f>
        <v xml:space="preserve">            Wells Fargo &amp; Co</v>
      </c>
      <c r="B244" t="str">
        <f>$B$106</f>
        <v>WFC US Equity</v>
      </c>
      <c r="C244" t="str">
        <f>$C$106</f>
        <v>FR531</v>
      </c>
      <c r="D244" t="str">
        <f>$D$106</f>
        <v>FED_INVT_IN_RE_VENTURES</v>
      </c>
      <c r="E244" t="str">
        <f>$E$106</f>
        <v>Dynamic</v>
      </c>
      <c r="F244">
        <f ca="1">_xll.BDH($B$106,$C$106,$B$143,$B$144,CONCATENATE("Per=",$B$141),"Dts=H","Dir=H",CONCATENATE("Points=",$B$142),"Sort=R","Days=A","Fill=B",CONCATENATE("FX=", $B$140),"cols=60;rows=1")</f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71</v>
      </c>
      <c r="O244">
        <v>70</v>
      </c>
      <c r="P244">
        <v>70</v>
      </c>
      <c r="Q244">
        <v>69</v>
      </c>
      <c r="R244">
        <v>69</v>
      </c>
      <c r="S244">
        <v>69</v>
      </c>
      <c r="T244">
        <v>95</v>
      </c>
      <c r="U244">
        <v>93</v>
      </c>
      <c r="V244">
        <v>81</v>
      </c>
      <c r="W244">
        <v>145</v>
      </c>
      <c r="X244">
        <v>127</v>
      </c>
      <c r="Y244">
        <v>116</v>
      </c>
      <c r="Z244">
        <v>214</v>
      </c>
      <c r="AA244">
        <v>214</v>
      </c>
      <c r="AB244">
        <v>215</v>
      </c>
      <c r="AC244">
        <v>488</v>
      </c>
      <c r="AD244">
        <v>501</v>
      </c>
      <c r="AE244">
        <v>438</v>
      </c>
      <c r="AF244">
        <v>359</v>
      </c>
      <c r="AG244">
        <v>266</v>
      </c>
      <c r="AH244">
        <v>259</v>
      </c>
      <c r="AI244">
        <v>533</v>
      </c>
      <c r="AJ244">
        <v>488</v>
      </c>
      <c r="AK244">
        <v>461</v>
      </c>
      <c r="AL244">
        <v>422</v>
      </c>
      <c r="AM244">
        <v>35</v>
      </c>
      <c r="AN244">
        <v>36</v>
      </c>
      <c r="AO244">
        <v>36</v>
      </c>
      <c r="AP244">
        <v>36</v>
      </c>
      <c r="AQ244">
        <v>64</v>
      </c>
      <c r="AR244">
        <v>0</v>
      </c>
      <c r="AS244">
        <v>1</v>
      </c>
      <c r="AT244">
        <v>1</v>
      </c>
      <c r="AU244">
        <v>1</v>
      </c>
      <c r="AV244">
        <v>3</v>
      </c>
      <c r="AW244">
        <v>4</v>
      </c>
      <c r="AX244">
        <v>7</v>
      </c>
      <c r="AY244">
        <v>8</v>
      </c>
      <c r="AZ244">
        <v>9</v>
      </c>
      <c r="BA244">
        <v>9</v>
      </c>
      <c r="BB244">
        <v>11</v>
      </c>
      <c r="BC244">
        <v>86</v>
      </c>
      <c r="BD244">
        <v>104</v>
      </c>
      <c r="BE244">
        <v>106</v>
      </c>
      <c r="BF244">
        <v>100</v>
      </c>
      <c r="BG244">
        <v>113</v>
      </c>
      <c r="BH244">
        <v>112</v>
      </c>
      <c r="BI244">
        <v>116</v>
      </c>
      <c r="BJ244">
        <v>118</v>
      </c>
      <c r="BK244">
        <v>122</v>
      </c>
      <c r="BL244">
        <v>120</v>
      </c>
      <c r="BM244">
        <v>119</v>
      </c>
      <c r="BN244" t="str">
        <f>""</f>
        <v/>
      </c>
      <c r="BO244" t="str">
        <f>""</f>
        <v/>
      </c>
      <c r="BP244" t="str">
        <f>""</f>
        <v/>
      </c>
      <c r="BQ244" t="str">
        <f>""</f>
        <v/>
      </c>
      <c r="BR244" t="str">
        <f>""</f>
        <v/>
      </c>
      <c r="BS244" t="str">
        <f>""</f>
        <v/>
      </c>
      <c r="BT244" t="str">
        <f>""</f>
        <v/>
      </c>
      <c r="BU244" t="str">
        <f>""</f>
        <v/>
      </c>
      <c r="BV244" t="str">
        <f>""</f>
        <v/>
      </c>
      <c r="BW244" t="str">
        <f>""</f>
        <v/>
      </c>
      <c r="BX244" t="str">
        <f>""</f>
        <v/>
      </c>
      <c r="BY244" t="str">
        <f>""</f>
        <v/>
      </c>
      <c r="BZ244" t="str">
        <f>""</f>
        <v/>
      </c>
      <c r="CA244" t="str">
        <f>""</f>
        <v/>
      </c>
      <c r="CB244" t="str">
        <f>""</f>
        <v/>
      </c>
      <c r="CC244" t="str">
        <f>""</f>
        <v/>
      </c>
      <c r="CD244" t="str">
        <f>""</f>
        <v/>
      </c>
      <c r="CE244" t="str">
        <f>""</f>
        <v/>
      </c>
      <c r="CF244" t="str">
        <f>""</f>
        <v/>
      </c>
      <c r="CG244" t="str">
        <f>""</f>
        <v/>
      </c>
      <c r="CH244" t="str">
        <f>""</f>
        <v/>
      </c>
      <c r="CI244" t="str">
        <f>""</f>
        <v/>
      </c>
      <c r="CJ244" t="str">
        <f>""</f>
        <v/>
      </c>
      <c r="CK244" t="str">
        <f>""</f>
        <v/>
      </c>
      <c r="CL244" t="str">
        <f>""</f>
        <v/>
      </c>
      <c r="CM244" t="str">
        <f>""</f>
        <v/>
      </c>
      <c r="CN244" t="str">
        <f>""</f>
        <v/>
      </c>
      <c r="CO244" t="str">
        <f>""</f>
        <v/>
      </c>
      <c r="CP244" t="str">
        <f>""</f>
        <v/>
      </c>
      <c r="CQ244" t="str">
        <f>""</f>
        <v/>
      </c>
      <c r="CR244" t="str">
        <f>""</f>
        <v/>
      </c>
      <c r="CS244" t="str">
        <f>""</f>
        <v/>
      </c>
      <c r="CT244" t="str">
        <f>""</f>
        <v/>
      </c>
      <c r="CU244" t="str">
        <f>""</f>
        <v/>
      </c>
      <c r="CV244" t="str">
        <f>""</f>
        <v/>
      </c>
      <c r="CW244" t="str">
        <f>""</f>
        <v/>
      </c>
      <c r="CX244" t="str">
        <f>""</f>
        <v/>
      </c>
      <c r="CY244" t="str">
        <f>""</f>
        <v/>
      </c>
      <c r="CZ244" t="str">
        <f>""</f>
        <v/>
      </c>
      <c r="DA244" t="str">
        <f>""</f>
        <v/>
      </c>
      <c r="DB244" t="str">
        <f>""</f>
        <v/>
      </c>
      <c r="DC244" t="str">
        <f>""</f>
        <v/>
      </c>
      <c r="DD244" t="str">
        <f>""</f>
        <v/>
      </c>
      <c r="DE244" t="str">
        <f>""</f>
        <v/>
      </c>
      <c r="DF244" t="str">
        <f>""</f>
        <v/>
      </c>
      <c r="DG244" t="str">
        <f>""</f>
        <v/>
      </c>
      <c r="DH244" t="str">
        <f>""</f>
        <v/>
      </c>
      <c r="DI244" t="str">
        <f>""</f>
        <v/>
      </c>
      <c r="DJ244" t="str">
        <f>""</f>
        <v/>
      </c>
      <c r="DK244" t="str">
        <f>""</f>
        <v/>
      </c>
      <c r="DL244" t="str">
        <f>""</f>
        <v/>
      </c>
      <c r="DM244" t="str">
        <f>""</f>
        <v/>
      </c>
      <c r="DN244" t="str">
        <f>""</f>
        <v/>
      </c>
      <c r="DO244" t="str">
        <f>""</f>
        <v/>
      </c>
      <c r="DP244" t="str">
        <f>""</f>
        <v/>
      </c>
      <c r="DQ244" t="str">
        <f>""</f>
        <v/>
      </c>
      <c r="DR244" t="str">
        <f>""</f>
        <v/>
      </c>
      <c r="DS244" t="str">
        <f>""</f>
        <v/>
      </c>
      <c r="DT244" t="str">
        <f>""</f>
        <v/>
      </c>
      <c r="DU244" t="str">
        <f>""</f>
        <v/>
      </c>
    </row>
    <row r="245" spans="1:125" x14ac:dyDescent="0.25">
      <c r="A245" t="str">
        <f>$A$107</f>
        <v xml:space="preserve">            Western Alliance Bancorp</v>
      </c>
      <c r="B245" t="str">
        <f>$B$107</f>
        <v>WAL US Equity</v>
      </c>
      <c r="C245" t="str">
        <f>$C$107</f>
        <v>FR531</v>
      </c>
      <c r="D245" t="str">
        <f>$D$107</f>
        <v>FED_INVT_IN_RE_VENTURES</v>
      </c>
      <c r="E245" t="str">
        <f>$E$107</f>
        <v>Dynamic</v>
      </c>
      <c r="F245">
        <f ca="1">_xll.BDH($B$107,$C$107,$B$143,$B$144,CONCATENATE("Per=",$B$141),"Dts=H","Dir=H",CONCATENATE("Points=",$B$142),"Sort=R","Days=A","Fill=B",CONCATENATE("FX=", $B$140),"cols=60;rows=1")</f>
        <v>574.505</v>
      </c>
      <c r="G245">
        <v>521.03099999999995</v>
      </c>
      <c r="H245">
        <v>509.49400000000003</v>
      </c>
      <c r="I245">
        <v>523.25</v>
      </c>
      <c r="J245">
        <v>541.83199999999999</v>
      </c>
      <c r="K245">
        <v>522.52099999999996</v>
      </c>
      <c r="L245">
        <v>550.42499999999995</v>
      </c>
      <c r="M245">
        <v>578.19299999999998</v>
      </c>
      <c r="N245">
        <v>589.22</v>
      </c>
      <c r="O245">
        <v>607.34100000000001</v>
      </c>
      <c r="P245">
        <v>587.17399999999998</v>
      </c>
      <c r="Q245">
        <v>601.39700000000005</v>
      </c>
      <c r="R245">
        <v>540.07100000000003</v>
      </c>
      <c r="S245">
        <v>478.27100000000002</v>
      </c>
      <c r="T245">
        <v>457.32400000000001</v>
      </c>
      <c r="U245">
        <v>465.60899999999998</v>
      </c>
      <c r="V245">
        <v>381.39</v>
      </c>
      <c r="W245">
        <v>377.00900000000001</v>
      </c>
      <c r="X245">
        <v>391.54399999999998</v>
      </c>
      <c r="Y245">
        <v>380.63299999999998</v>
      </c>
      <c r="Z245">
        <v>388.07400000000001</v>
      </c>
      <c r="AA245">
        <v>338.565</v>
      </c>
      <c r="AB245">
        <v>321.21199999999999</v>
      </c>
      <c r="AC245">
        <v>332.09100000000001</v>
      </c>
      <c r="AD245">
        <v>342.38200000000001</v>
      </c>
      <c r="AE245">
        <v>295.19900000000001</v>
      </c>
      <c r="AF245">
        <v>304.13600000000002</v>
      </c>
      <c r="AG245">
        <v>288.911</v>
      </c>
      <c r="AH245">
        <v>267.02300000000002</v>
      </c>
      <c r="AI245">
        <v>252.94800000000001</v>
      </c>
      <c r="AJ245">
        <v>234.6</v>
      </c>
      <c r="AK245">
        <v>206.44800000000001</v>
      </c>
      <c r="AL245">
        <v>187.37799999999999</v>
      </c>
      <c r="AM245">
        <v>166.148</v>
      </c>
      <c r="AN245">
        <v>171.661</v>
      </c>
      <c r="AO245">
        <v>175.55099999999999</v>
      </c>
      <c r="AP245">
        <v>152.715</v>
      </c>
      <c r="AQ245">
        <v>121.78</v>
      </c>
      <c r="AR245">
        <v>126.85299999999999</v>
      </c>
      <c r="AS245">
        <v>123.205</v>
      </c>
      <c r="AT245">
        <v>0</v>
      </c>
      <c r="AU245">
        <v>0</v>
      </c>
      <c r="AV245">
        <v>1.135</v>
      </c>
      <c r="AW245">
        <v>1.135</v>
      </c>
      <c r="AX245">
        <v>1.802</v>
      </c>
      <c r="AY245">
        <v>1.135</v>
      </c>
      <c r="AZ245">
        <v>1.802</v>
      </c>
      <c r="BA245">
        <v>1.135</v>
      </c>
      <c r="BB245">
        <v>1.135</v>
      </c>
      <c r="BC245">
        <v>1.135</v>
      </c>
      <c r="BD245">
        <v>1.135</v>
      </c>
      <c r="BE245">
        <v>1.135</v>
      </c>
      <c r="BF245">
        <v>1.135</v>
      </c>
      <c r="BG245">
        <v>1.135</v>
      </c>
      <c r="BH245">
        <v>1.135</v>
      </c>
      <c r="BI245">
        <v>1.135</v>
      </c>
      <c r="BJ245">
        <v>1.135</v>
      </c>
      <c r="BK245">
        <v>1.135</v>
      </c>
      <c r="BL245">
        <v>1.135</v>
      </c>
      <c r="BM245">
        <v>0</v>
      </c>
      <c r="BN245" t="str">
        <f>""</f>
        <v/>
      </c>
      <c r="BO245" t="str">
        <f>""</f>
        <v/>
      </c>
      <c r="BP245" t="str">
        <f>""</f>
        <v/>
      </c>
      <c r="BQ245" t="str">
        <f>""</f>
        <v/>
      </c>
      <c r="BR245" t="str">
        <f>""</f>
        <v/>
      </c>
      <c r="BS245" t="str">
        <f>""</f>
        <v/>
      </c>
      <c r="BT245" t="str">
        <f>""</f>
        <v/>
      </c>
      <c r="BU245" t="str">
        <f>""</f>
        <v/>
      </c>
      <c r="BV245" t="str">
        <f>""</f>
        <v/>
      </c>
      <c r="BW245" t="str">
        <f>""</f>
        <v/>
      </c>
      <c r="BX245" t="str">
        <f>""</f>
        <v/>
      </c>
      <c r="BY245" t="str">
        <f>""</f>
        <v/>
      </c>
      <c r="BZ245" t="str">
        <f>""</f>
        <v/>
      </c>
      <c r="CA245" t="str">
        <f>""</f>
        <v/>
      </c>
      <c r="CB245" t="str">
        <f>""</f>
        <v/>
      </c>
      <c r="CC245" t="str">
        <f>""</f>
        <v/>
      </c>
      <c r="CD245" t="str">
        <f>""</f>
        <v/>
      </c>
      <c r="CE245" t="str">
        <f>""</f>
        <v/>
      </c>
      <c r="CF245" t="str">
        <f>""</f>
        <v/>
      </c>
      <c r="CG245" t="str">
        <f>""</f>
        <v/>
      </c>
      <c r="CH245" t="str">
        <f>""</f>
        <v/>
      </c>
      <c r="CI245" t="str">
        <f>""</f>
        <v/>
      </c>
      <c r="CJ245" t="str">
        <f>""</f>
        <v/>
      </c>
      <c r="CK245" t="str">
        <f>""</f>
        <v/>
      </c>
      <c r="CL245" t="str">
        <f>""</f>
        <v/>
      </c>
      <c r="CM245" t="str">
        <f>""</f>
        <v/>
      </c>
      <c r="CN245" t="str">
        <f>""</f>
        <v/>
      </c>
      <c r="CO245" t="str">
        <f>""</f>
        <v/>
      </c>
      <c r="CP245" t="str">
        <f>""</f>
        <v/>
      </c>
      <c r="CQ245" t="str">
        <f>""</f>
        <v/>
      </c>
      <c r="CR245" t="str">
        <f>""</f>
        <v/>
      </c>
      <c r="CS245" t="str">
        <f>""</f>
        <v/>
      </c>
      <c r="CT245" t="str">
        <f>""</f>
        <v/>
      </c>
      <c r="CU245" t="str">
        <f>""</f>
        <v/>
      </c>
      <c r="CV245" t="str">
        <f>""</f>
        <v/>
      </c>
      <c r="CW245" t="str">
        <f>""</f>
        <v/>
      </c>
      <c r="CX245" t="str">
        <f>""</f>
        <v/>
      </c>
      <c r="CY245" t="str">
        <f>""</f>
        <v/>
      </c>
      <c r="CZ245" t="str">
        <f>""</f>
        <v/>
      </c>
      <c r="DA245" t="str">
        <f>""</f>
        <v/>
      </c>
      <c r="DB245" t="str">
        <f>""</f>
        <v/>
      </c>
      <c r="DC245" t="str">
        <f>""</f>
        <v/>
      </c>
      <c r="DD245" t="str">
        <f>""</f>
        <v/>
      </c>
      <c r="DE245" t="str">
        <f>""</f>
        <v/>
      </c>
      <c r="DF245" t="str">
        <f>""</f>
        <v/>
      </c>
      <c r="DG245" t="str">
        <f>""</f>
        <v/>
      </c>
      <c r="DH245" t="str">
        <f>""</f>
        <v/>
      </c>
      <c r="DI245" t="str">
        <f>""</f>
        <v/>
      </c>
      <c r="DJ245" t="str">
        <f>""</f>
        <v/>
      </c>
      <c r="DK245" t="str">
        <f>""</f>
        <v/>
      </c>
      <c r="DL245" t="str">
        <f>""</f>
        <v/>
      </c>
      <c r="DM245" t="str">
        <f>""</f>
        <v/>
      </c>
      <c r="DN245" t="str">
        <f>""</f>
        <v/>
      </c>
      <c r="DO245" t="str">
        <f>""</f>
        <v/>
      </c>
      <c r="DP245" t="str">
        <f>""</f>
        <v/>
      </c>
      <c r="DQ245" t="str">
        <f>""</f>
        <v/>
      </c>
      <c r="DR245" t="str">
        <f>""</f>
        <v/>
      </c>
      <c r="DS245" t="str">
        <f>""</f>
        <v/>
      </c>
      <c r="DT245" t="str">
        <f>""</f>
        <v/>
      </c>
      <c r="DU245" t="str">
        <f>""</f>
        <v/>
      </c>
    </row>
    <row r="246" spans="1:125" x14ac:dyDescent="0.25">
      <c r="A246" t="str">
        <f>$A$108</f>
        <v xml:space="preserve">            Zions Bancorp NA</v>
      </c>
      <c r="B246" t="str">
        <f>$B$108</f>
        <v>ZION US Equity</v>
      </c>
      <c r="C246" t="str">
        <f>$C$108</f>
        <v>FR531</v>
      </c>
      <c r="D246" t="str">
        <f>$D$108</f>
        <v>FED_INVT_IN_RE_VENTURES</v>
      </c>
      <c r="E246" t="str">
        <f>$E$108</f>
        <v>Dynamic</v>
      </c>
      <c r="F246" t="str">
        <f ca="1">_xll.BDH($B$108,$C$108,$B$143,$B$144,CONCATENATE("Per=",$B$141),"Dts=H","Dir=H",CONCATENATE("Points=",$B$142),"Sort=R","Days=A","Fill=B",CONCATENATE("FX=", $B$140) )</f>
        <v/>
      </c>
      <c r="BN246" t="str">
        <f>""</f>
        <v/>
      </c>
      <c r="BO246" t="str">
        <f>""</f>
        <v/>
      </c>
      <c r="BP246" t="str">
        <f>""</f>
        <v/>
      </c>
      <c r="BQ246" t="str">
        <f>""</f>
        <v/>
      </c>
      <c r="BR246" t="str">
        <f>""</f>
        <v/>
      </c>
      <c r="BS246" t="str">
        <f>""</f>
        <v/>
      </c>
      <c r="BT246" t="str">
        <f>""</f>
        <v/>
      </c>
      <c r="BU246" t="str">
        <f>""</f>
        <v/>
      </c>
      <c r="BV246" t="str">
        <f>""</f>
        <v/>
      </c>
      <c r="BW246" t="str">
        <f>""</f>
        <v/>
      </c>
      <c r="BX246" t="str">
        <f>""</f>
        <v/>
      </c>
      <c r="BY246" t="str">
        <f>""</f>
        <v/>
      </c>
      <c r="BZ246" t="str">
        <f>""</f>
        <v/>
      </c>
      <c r="CA246" t="str">
        <f>""</f>
        <v/>
      </c>
      <c r="CB246" t="str">
        <f>""</f>
        <v/>
      </c>
      <c r="CC246" t="str">
        <f>""</f>
        <v/>
      </c>
      <c r="CD246" t="str">
        <f>""</f>
        <v/>
      </c>
      <c r="CE246" t="str">
        <f>""</f>
        <v/>
      </c>
      <c r="CF246" t="str">
        <f>""</f>
        <v/>
      </c>
      <c r="CG246" t="str">
        <f>""</f>
        <v/>
      </c>
      <c r="CH246" t="str">
        <f>""</f>
        <v/>
      </c>
      <c r="CI246" t="str">
        <f>""</f>
        <v/>
      </c>
      <c r="CJ246" t="str">
        <f>""</f>
        <v/>
      </c>
      <c r="CK246" t="str">
        <f>""</f>
        <v/>
      </c>
      <c r="CL246" t="str">
        <f>""</f>
        <v/>
      </c>
      <c r="CM246" t="str">
        <f>""</f>
        <v/>
      </c>
      <c r="CN246" t="str">
        <f>""</f>
        <v/>
      </c>
      <c r="CO246" t="str">
        <f>""</f>
        <v/>
      </c>
      <c r="CP246" t="str">
        <f>""</f>
        <v/>
      </c>
      <c r="CQ246" t="str">
        <f>""</f>
        <v/>
      </c>
      <c r="CR246" t="str">
        <f>""</f>
        <v/>
      </c>
      <c r="CS246" t="str">
        <f>""</f>
        <v/>
      </c>
      <c r="CT246" t="str">
        <f>""</f>
        <v/>
      </c>
      <c r="CU246" t="str">
        <f>""</f>
        <v/>
      </c>
      <c r="CV246" t="str">
        <f>""</f>
        <v/>
      </c>
      <c r="CW246" t="str">
        <f>""</f>
        <v/>
      </c>
      <c r="CX246" t="str">
        <f>""</f>
        <v/>
      </c>
      <c r="CY246" t="str">
        <f>""</f>
        <v/>
      </c>
      <c r="CZ246" t="str">
        <f>""</f>
        <v/>
      </c>
      <c r="DA246" t="str">
        <f>""</f>
        <v/>
      </c>
      <c r="DB246" t="str">
        <f>""</f>
        <v/>
      </c>
      <c r="DC246" t="str">
        <f>""</f>
        <v/>
      </c>
      <c r="DD246" t="str">
        <f>""</f>
        <v/>
      </c>
      <c r="DE246" t="str">
        <f>""</f>
        <v/>
      </c>
      <c r="DF246" t="str">
        <f>""</f>
        <v/>
      </c>
      <c r="DG246" t="str">
        <f>""</f>
        <v/>
      </c>
      <c r="DH246" t="str">
        <f>""</f>
        <v/>
      </c>
      <c r="DI246" t="str">
        <f>""</f>
        <v/>
      </c>
      <c r="DJ246" t="str">
        <f>""</f>
        <v/>
      </c>
      <c r="DK246" t="str">
        <f>""</f>
        <v/>
      </c>
      <c r="DL246" t="str">
        <f>""</f>
        <v/>
      </c>
      <c r="DM246" t="str">
        <f>""</f>
        <v/>
      </c>
      <c r="DN246" t="str">
        <f>""</f>
        <v/>
      </c>
      <c r="DO246" t="str">
        <f>""</f>
        <v/>
      </c>
      <c r="DP246" t="str">
        <f>""</f>
        <v/>
      </c>
      <c r="DQ246" t="str">
        <f>""</f>
        <v/>
      </c>
      <c r="DR246" t="str">
        <f>""</f>
        <v/>
      </c>
      <c r="DS246" t="str">
        <f>""</f>
        <v/>
      </c>
      <c r="DT246" t="str">
        <f>""</f>
        <v/>
      </c>
      <c r="DU246" t="str">
        <f>""</f>
        <v/>
      </c>
    </row>
    <row r="247" spans="1:125" x14ac:dyDescent="0.25">
      <c r="A247" t="str">
        <f>$A$110</f>
        <v xml:space="preserve">            Bank of America Corp</v>
      </c>
      <c r="B247" t="str">
        <f>$B$110</f>
        <v>BAC US Equity</v>
      </c>
      <c r="C247" t="str">
        <f>$C$110</f>
        <v>FC001</v>
      </c>
      <c r="D247" t="str">
        <f>$D$110</f>
        <v>FDIC_TOTAL_ASSETS</v>
      </c>
      <c r="E247" t="str">
        <f>$E$110</f>
        <v>Dynamic</v>
      </c>
      <c r="F247">
        <f ca="1">_xll.BDH($B$110,$C$110,$B$143,$B$144,CONCATENATE("Per=",$B$141),"Dts=H","Dir=H",CONCATENATE("Points=",$B$142),"Sort=R","Days=A","Fill=B",CONCATENATE("FX=", $B$140),"cols=60;rows=1")</f>
        <v>3261789</v>
      </c>
      <c r="G247">
        <v>3324293</v>
      </c>
      <c r="H247">
        <v>3257996</v>
      </c>
      <c r="I247">
        <v>3273803</v>
      </c>
      <c r="J247">
        <v>3180151</v>
      </c>
      <c r="K247">
        <v>3153090</v>
      </c>
      <c r="L247">
        <v>3123198</v>
      </c>
      <c r="M247">
        <v>3194657</v>
      </c>
      <c r="N247">
        <v>3051215</v>
      </c>
      <c r="O247">
        <v>3072953</v>
      </c>
      <c r="P247">
        <v>3111606</v>
      </c>
      <c r="Q247">
        <v>3238223</v>
      </c>
      <c r="R247">
        <v>3169495</v>
      </c>
      <c r="S247">
        <v>3085446</v>
      </c>
      <c r="T247">
        <v>3029894</v>
      </c>
      <c r="U247">
        <v>2969992</v>
      </c>
      <c r="V247">
        <v>2819627</v>
      </c>
      <c r="W247">
        <v>2738452</v>
      </c>
      <c r="X247">
        <v>2741688</v>
      </c>
      <c r="Y247">
        <v>2619954</v>
      </c>
      <c r="Z247">
        <v>2434079</v>
      </c>
      <c r="AA247">
        <v>2426330</v>
      </c>
      <c r="AB247">
        <v>2396484</v>
      </c>
      <c r="AC247">
        <v>2377362</v>
      </c>
      <c r="AD247">
        <v>2354980</v>
      </c>
      <c r="AE247">
        <v>2338913</v>
      </c>
      <c r="AF247">
        <v>2291858</v>
      </c>
      <c r="AG247">
        <v>2328754</v>
      </c>
      <c r="AH247">
        <v>2281477</v>
      </c>
      <c r="AI247">
        <v>2285062</v>
      </c>
      <c r="AJ247">
        <v>2256095</v>
      </c>
      <c r="AK247">
        <v>2249046</v>
      </c>
      <c r="AL247">
        <v>2189266</v>
      </c>
      <c r="AM247">
        <v>2198884</v>
      </c>
      <c r="AN247">
        <v>2189811</v>
      </c>
      <c r="AO247">
        <v>2188633</v>
      </c>
      <c r="AP247">
        <v>2147391</v>
      </c>
      <c r="AQ247">
        <v>2154342</v>
      </c>
      <c r="AR247">
        <v>2152082</v>
      </c>
      <c r="AS247">
        <v>2145027</v>
      </c>
      <c r="AT247">
        <v>2106796</v>
      </c>
      <c r="AU247">
        <v>2126138</v>
      </c>
      <c r="AV247">
        <v>2172001</v>
      </c>
      <c r="AW247">
        <v>2152533</v>
      </c>
      <c r="AX247">
        <v>2104995</v>
      </c>
      <c r="AY247">
        <v>2128706</v>
      </c>
      <c r="AZ247">
        <v>2125686</v>
      </c>
      <c r="BA247">
        <v>2176625</v>
      </c>
      <c r="BB247">
        <v>2212004.452</v>
      </c>
      <c r="BC247">
        <v>2168023.105</v>
      </c>
      <c r="BD247">
        <v>2162083.3960000002</v>
      </c>
      <c r="BE247">
        <v>2180055.682</v>
      </c>
      <c r="BF247">
        <v>2136577.9070000001</v>
      </c>
      <c r="BG247">
        <v>2221386.5759999999</v>
      </c>
      <c r="BH247">
        <v>2264435.8369999998</v>
      </c>
      <c r="BI247">
        <v>2276418.25</v>
      </c>
      <c r="BJ247">
        <v>2268347.3769999999</v>
      </c>
      <c r="BK247">
        <v>2341160.426</v>
      </c>
      <c r="BL247">
        <v>2370594.2349999999</v>
      </c>
      <c r="BM247">
        <v>2346600.7439999999</v>
      </c>
      <c r="BN247" t="str">
        <f>""</f>
        <v/>
      </c>
      <c r="BO247" t="str">
        <f>""</f>
        <v/>
      </c>
      <c r="BP247" t="str">
        <f>""</f>
        <v/>
      </c>
      <c r="BQ247" t="str">
        <f>""</f>
        <v/>
      </c>
      <c r="BR247" t="str">
        <f>""</f>
        <v/>
      </c>
      <c r="BS247" t="str">
        <f>""</f>
        <v/>
      </c>
      <c r="BT247" t="str">
        <f>""</f>
        <v/>
      </c>
      <c r="BU247" t="str">
        <f>""</f>
        <v/>
      </c>
      <c r="BV247" t="str">
        <f>""</f>
        <v/>
      </c>
      <c r="BW247" t="str">
        <f>""</f>
        <v/>
      </c>
      <c r="BX247" t="str">
        <f>""</f>
        <v/>
      </c>
      <c r="BY247" t="str">
        <f>""</f>
        <v/>
      </c>
      <c r="BZ247" t="str">
        <f>""</f>
        <v/>
      </c>
      <c r="CA247" t="str">
        <f>""</f>
        <v/>
      </c>
      <c r="CB247" t="str">
        <f>""</f>
        <v/>
      </c>
      <c r="CC247" t="str">
        <f>""</f>
        <v/>
      </c>
      <c r="CD247" t="str">
        <f>""</f>
        <v/>
      </c>
      <c r="CE247" t="str">
        <f>""</f>
        <v/>
      </c>
      <c r="CF247" t="str">
        <f>""</f>
        <v/>
      </c>
      <c r="CG247" t="str">
        <f>""</f>
        <v/>
      </c>
      <c r="CH247" t="str">
        <f>""</f>
        <v/>
      </c>
      <c r="CI247" t="str">
        <f>""</f>
        <v/>
      </c>
      <c r="CJ247" t="str">
        <f>""</f>
        <v/>
      </c>
      <c r="CK247" t="str">
        <f>""</f>
        <v/>
      </c>
      <c r="CL247" t="str">
        <f>""</f>
        <v/>
      </c>
      <c r="CM247" t="str">
        <f>""</f>
        <v/>
      </c>
      <c r="CN247" t="str">
        <f>""</f>
        <v/>
      </c>
      <c r="CO247" t="str">
        <f>""</f>
        <v/>
      </c>
      <c r="CP247" t="str">
        <f>""</f>
        <v/>
      </c>
      <c r="CQ247" t="str">
        <f>""</f>
        <v/>
      </c>
      <c r="CR247" t="str">
        <f>""</f>
        <v/>
      </c>
      <c r="CS247" t="str">
        <f>""</f>
        <v/>
      </c>
      <c r="CT247" t="str">
        <f>""</f>
        <v/>
      </c>
      <c r="CU247" t="str">
        <f>""</f>
        <v/>
      </c>
      <c r="CV247" t="str">
        <f>""</f>
        <v/>
      </c>
      <c r="CW247" t="str">
        <f>""</f>
        <v/>
      </c>
      <c r="CX247" t="str">
        <f>""</f>
        <v/>
      </c>
      <c r="CY247" t="str">
        <f>""</f>
        <v/>
      </c>
      <c r="CZ247" t="str">
        <f>""</f>
        <v/>
      </c>
      <c r="DA247" t="str">
        <f>""</f>
        <v/>
      </c>
      <c r="DB247" t="str">
        <f>""</f>
        <v/>
      </c>
      <c r="DC247" t="str">
        <f>""</f>
        <v/>
      </c>
      <c r="DD247" t="str">
        <f>""</f>
        <v/>
      </c>
      <c r="DE247" t="str">
        <f>""</f>
        <v/>
      </c>
      <c r="DF247" t="str">
        <f>""</f>
        <v/>
      </c>
      <c r="DG247" t="str">
        <f>""</f>
        <v/>
      </c>
      <c r="DH247" t="str">
        <f>""</f>
        <v/>
      </c>
      <c r="DI247" t="str">
        <f>""</f>
        <v/>
      </c>
      <c r="DJ247" t="str">
        <f>""</f>
        <v/>
      </c>
      <c r="DK247" t="str">
        <f>""</f>
        <v/>
      </c>
      <c r="DL247" t="str">
        <f>""</f>
        <v/>
      </c>
      <c r="DM247" t="str">
        <f>""</f>
        <v/>
      </c>
      <c r="DN247" t="str">
        <f>""</f>
        <v/>
      </c>
      <c r="DO247" t="str">
        <f>""</f>
        <v/>
      </c>
      <c r="DP247" t="str">
        <f>""</f>
        <v/>
      </c>
      <c r="DQ247" t="str">
        <f>""</f>
        <v/>
      </c>
      <c r="DR247" t="str">
        <f>""</f>
        <v/>
      </c>
      <c r="DS247" t="str">
        <f>""</f>
        <v/>
      </c>
      <c r="DT247" t="str">
        <f>""</f>
        <v/>
      </c>
      <c r="DU247" t="str">
        <f>""</f>
        <v/>
      </c>
    </row>
    <row r="248" spans="1:125" x14ac:dyDescent="0.25">
      <c r="A248" t="str">
        <f>$A$111</f>
        <v xml:space="preserve">            Citigroup Inc</v>
      </c>
      <c r="B248" t="str">
        <f>$B$111</f>
        <v>C US Equity</v>
      </c>
      <c r="C248" t="str">
        <f>$C$111</f>
        <v>FC001</v>
      </c>
      <c r="D248" t="str">
        <f>$D$111</f>
        <v>FDIC_TOTAL_ASSETS</v>
      </c>
      <c r="E248" t="str">
        <f>$E$111</f>
        <v>Dynamic</v>
      </c>
      <c r="F248">
        <f ca="1">_xll.BDH($B$111,$C$111,$B$143,$B$144,CONCATENATE("Per=",$B$141),"Dts=H","Dir=H",CONCATENATE("Points=",$B$142),"Sort=R","Days=A","Fill=B",CONCATENATE("FX=", $B$140),"cols=60;rows=1")</f>
        <v>2352945</v>
      </c>
      <c r="G248">
        <v>2430663</v>
      </c>
      <c r="H248">
        <v>2405686</v>
      </c>
      <c r="I248">
        <v>2432510</v>
      </c>
      <c r="J248">
        <v>2411834</v>
      </c>
      <c r="K248">
        <v>2368477</v>
      </c>
      <c r="L248">
        <v>2423675</v>
      </c>
      <c r="M248">
        <v>2455113</v>
      </c>
      <c r="N248">
        <v>2416676</v>
      </c>
      <c r="O248">
        <v>2381064</v>
      </c>
      <c r="P248">
        <v>2380904</v>
      </c>
      <c r="Q248">
        <v>2394105</v>
      </c>
      <c r="R248">
        <v>2291413</v>
      </c>
      <c r="S248">
        <v>2361876</v>
      </c>
      <c r="T248">
        <v>2327868</v>
      </c>
      <c r="U248">
        <v>2314266</v>
      </c>
      <c r="V248">
        <v>2260090</v>
      </c>
      <c r="W248">
        <v>2234459</v>
      </c>
      <c r="X248">
        <v>2232799</v>
      </c>
      <c r="Y248">
        <v>2220114</v>
      </c>
      <c r="Z248">
        <v>1951158</v>
      </c>
      <c r="AA248">
        <v>2014802</v>
      </c>
      <c r="AB248">
        <v>1988226</v>
      </c>
      <c r="AC248">
        <v>1958413</v>
      </c>
      <c r="AD248">
        <v>1917383</v>
      </c>
      <c r="AE248">
        <v>1925165</v>
      </c>
      <c r="AF248">
        <v>1912334</v>
      </c>
      <c r="AG248">
        <v>1922104</v>
      </c>
      <c r="AH248">
        <v>1842465</v>
      </c>
      <c r="AI248">
        <v>1889133</v>
      </c>
      <c r="AJ248">
        <v>1864063</v>
      </c>
      <c r="AK248">
        <v>1821635</v>
      </c>
      <c r="AL248">
        <v>1792077</v>
      </c>
      <c r="AM248">
        <v>1818117</v>
      </c>
      <c r="AN248">
        <v>1818771</v>
      </c>
      <c r="AO248">
        <v>1800967</v>
      </c>
      <c r="AP248">
        <v>1731210</v>
      </c>
      <c r="AQ248">
        <v>1808356</v>
      </c>
      <c r="AR248">
        <v>1829370</v>
      </c>
      <c r="AS248">
        <v>1831801</v>
      </c>
      <c r="AT248">
        <v>1842530</v>
      </c>
      <c r="AU248">
        <v>1882849</v>
      </c>
      <c r="AV248">
        <v>1909715</v>
      </c>
      <c r="AW248">
        <v>1894736</v>
      </c>
      <c r="AX248">
        <v>1880382</v>
      </c>
      <c r="AY248">
        <v>1899511</v>
      </c>
      <c r="AZ248">
        <v>1883988</v>
      </c>
      <c r="BA248">
        <v>1881734</v>
      </c>
      <c r="BB248">
        <v>1864660</v>
      </c>
      <c r="BC248">
        <v>1931346</v>
      </c>
      <c r="BD248">
        <v>1916451</v>
      </c>
      <c r="BE248">
        <v>1944423</v>
      </c>
      <c r="BF248">
        <v>1873878</v>
      </c>
      <c r="BG248">
        <v>1935992</v>
      </c>
      <c r="BH248">
        <v>1956626</v>
      </c>
      <c r="BI248">
        <v>1947815</v>
      </c>
      <c r="BJ248">
        <v>1913902</v>
      </c>
      <c r="BK248">
        <v>1983280</v>
      </c>
      <c r="BL248">
        <v>1937656</v>
      </c>
      <c r="BM248">
        <v>2002213</v>
      </c>
      <c r="BN248" t="str">
        <f>""</f>
        <v/>
      </c>
      <c r="BO248" t="str">
        <f>""</f>
        <v/>
      </c>
      <c r="BP248" t="str">
        <f>""</f>
        <v/>
      </c>
      <c r="BQ248" t="str">
        <f>""</f>
        <v/>
      </c>
      <c r="BR248" t="str">
        <f>""</f>
        <v/>
      </c>
      <c r="BS248" t="str">
        <f>""</f>
        <v/>
      </c>
      <c r="BT248" t="str">
        <f>""</f>
        <v/>
      </c>
      <c r="BU248" t="str">
        <f>""</f>
        <v/>
      </c>
      <c r="BV248" t="str">
        <f>""</f>
        <v/>
      </c>
      <c r="BW248" t="str">
        <f>""</f>
        <v/>
      </c>
      <c r="BX248" t="str">
        <f>""</f>
        <v/>
      </c>
      <c r="BY248" t="str">
        <f>""</f>
        <v/>
      </c>
      <c r="BZ248" t="str">
        <f>""</f>
        <v/>
      </c>
      <c r="CA248" t="str">
        <f>""</f>
        <v/>
      </c>
      <c r="CB248" t="str">
        <f>""</f>
        <v/>
      </c>
      <c r="CC248" t="str">
        <f>""</f>
        <v/>
      </c>
      <c r="CD248" t="str">
        <f>""</f>
        <v/>
      </c>
      <c r="CE248" t="str">
        <f>""</f>
        <v/>
      </c>
      <c r="CF248" t="str">
        <f>""</f>
        <v/>
      </c>
      <c r="CG248" t="str">
        <f>""</f>
        <v/>
      </c>
      <c r="CH248" t="str">
        <f>""</f>
        <v/>
      </c>
      <c r="CI248" t="str">
        <f>""</f>
        <v/>
      </c>
      <c r="CJ248" t="str">
        <f>""</f>
        <v/>
      </c>
      <c r="CK248" t="str">
        <f>""</f>
        <v/>
      </c>
      <c r="CL248" t="str">
        <f>""</f>
        <v/>
      </c>
      <c r="CM248" t="str">
        <f>""</f>
        <v/>
      </c>
      <c r="CN248" t="str">
        <f>""</f>
        <v/>
      </c>
      <c r="CO248" t="str">
        <f>""</f>
        <v/>
      </c>
      <c r="CP248" t="str">
        <f>""</f>
        <v/>
      </c>
      <c r="CQ248" t="str">
        <f>""</f>
        <v/>
      </c>
      <c r="CR248" t="str">
        <f>""</f>
        <v/>
      </c>
      <c r="CS248" t="str">
        <f>""</f>
        <v/>
      </c>
      <c r="CT248" t="str">
        <f>""</f>
        <v/>
      </c>
      <c r="CU248" t="str">
        <f>""</f>
        <v/>
      </c>
      <c r="CV248" t="str">
        <f>""</f>
        <v/>
      </c>
      <c r="CW248" t="str">
        <f>""</f>
        <v/>
      </c>
      <c r="CX248" t="str">
        <f>""</f>
        <v/>
      </c>
      <c r="CY248" t="str">
        <f>""</f>
        <v/>
      </c>
      <c r="CZ248" t="str">
        <f>""</f>
        <v/>
      </c>
      <c r="DA248" t="str">
        <f>""</f>
        <v/>
      </c>
      <c r="DB248" t="str">
        <f>""</f>
        <v/>
      </c>
      <c r="DC248" t="str">
        <f>""</f>
        <v/>
      </c>
      <c r="DD248" t="str">
        <f>""</f>
        <v/>
      </c>
      <c r="DE248" t="str">
        <f>""</f>
        <v/>
      </c>
      <c r="DF248" t="str">
        <f>""</f>
        <v/>
      </c>
      <c r="DG248" t="str">
        <f>""</f>
        <v/>
      </c>
      <c r="DH248" t="str">
        <f>""</f>
        <v/>
      </c>
      <c r="DI248" t="str">
        <f>""</f>
        <v/>
      </c>
      <c r="DJ248" t="str">
        <f>""</f>
        <v/>
      </c>
      <c r="DK248" t="str">
        <f>""</f>
        <v/>
      </c>
      <c r="DL248" t="str">
        <f>""</f>
        <v/>
      </c>
      <c r="DM248" t="str">
        <f>""</f>
        <v/>
      </c>
      <c r="DN248" t="str">
        <f>""</f>
        <v/>
      </c>
      <c r="DO248" t="str">
        <f>""</f>
        <v/>
      </c>
      <c r="DP248" t="str">
        <f>""</f>
        <v/>
      </c>
      <c r="DQ248" t="str">
        <f>""</f>
        <v/>
      </c>
      <c r="DR248" t="str">
        <f>""</f>
        <v/>
      </c>
      <c r="DS248" t="str">
        <f>""</f>
        <v/>
      </c>
      <c r="DT248" t="str">
        <f>""</f>
        <v/>
      </c>
      <c r="DU248" t="str">
        <f>""</f>
        <v/>
      </c>
    </row>
    <row r="249" spans="1:125" x14ac:dyDescent="0.25">
      <c r="A249" t="str">
        <f>$A$112</f>
        <v xml:space="preserve">            Citizens Financial Group Inc</v>
      </c>
      <c r="B249" t="str">
        <f>$B$112</f>
        <v>CFG US Equity</v>
      </c>
      <c r="C249" t="str">
        <f>$C$112</f>
        <v>FC001</v>
      </c>
      <c r="D249" t="str">
        <f>$D$112</f>
        <v>FDIC_TOTAL_ASSETS</v>
      </c>
      <c r="E249" t="str">
        <f>$E$112</f>
        <v>Dynamic</v>
      </c>
      <c r="F249">
        <f ca="1">_xll.BDH($B$112,$C$112,$B$143,$B$144,CONCATENATE("Per=",$B$141),"Dts=H","Dir=H",CONCATENATE("Points=",$B$142),"Sort=R","Days=A","Fill=B",CONCATENATE("FX=", $B$140),"cols=60;rows=1")</f>
        <v>217935.962</v>
      </c>
      <c r="G249">
        <v>220309.16699999999</v>
      </c>
      <c r="H249">
        <v>220373.58600000001</v>
      </c>
      <c r="I249">
        <v>220862.00200000001</v>
      </c>
      <c r="J249">
        <v>222411.872</v>
      </c>
      <c r="K249">
        <v>225635.45600000001</v>
      </c>
      <c r="L249">
        <v>223468.136</v>
      </c>
      <c r="M249">
        <v>222655.78200000001</v>
      </c>
      <c r="N249">
        <v>227087.18599999999</v>
      </c>
      <c r="O249">
        <v>225138.533</v>
      </c>
      <c r="P249">
        <v>227186.68100000001</v>
      </c>
      <c r="Q249">
        <v>192471.58499999999</v>
      </c>
      <c r="R249">
        <v>188708.50200000001</v>
      </c>
      <c r="S249">
        <v>187548.62400000001</v>
      </c>
      <c r="T249">
        <v>185540.96299999999</v>
      </c>
      <c r="U249">
        <v>187601.9</v>
      </c>
      <c r="V249">
        <v>183728.54</v>
      </c>
      <c r="W249">
        <v>179583.42600000001</v>
      </c>
      <c r="X249">
        <v>180245.568</v>
      </c>
      <c r="Y249">
        <v>176981.45600000001</v>
      </c>
      <c r="Z249">
        <v>166089.89000000001</v>
      </c>
      <c r="AA249">
        <v>164974.535</v>
      </c>
      <c r="AB249">
        <v>163345.723</v>
      </c>
      <c r="AC249">
        <v>161724.204</v>
      </c>
      <c r="AD249">
        <v>161004.68700000001</v>
      </c>
      <c r="AE249">
        <v>158989.03</v>
      </c>
      <c r="AF249">
        <v>155838.315</v>
      </c>
      <c r="AG249">
        <v>153850.954</v>
      </c>
      <c r="AH249">
        <v>152709.68100000001</v>
      </c>
      <c r="AI249">
        <v>151763.761</v>
      </c>
      <c r="AJ249">
        <v>151993.22</v>
      </c>
      <c r="AK249">
        <v>150690.016</v>
      </c>
      <c r="AL249">
        <v>150022.88500000001</v>
      </c>
      <c r="AM249">
        <v>147442.174</v>
      </c>
      <c r="AN249">
        <v>145568.29699999999</v>
      </c>
      <c r="AO249">
        <v>140409.38500000001</v>
      </c>
      <c r="AP249">
        <v>138574.068</v>
      </c>
      <c r="AQ249">
        <v>135811.13099999999</v>
      </c>
      <c r="AR249">
        <v>137564.32199999999</v>
      </c>
      <c r="AS249">
        <v>136905.65100000001</v>
      </c>
      <c r="AT249">
        <v>133000.128</v>
      </c>
      <c r="AU249">
        <v>131520.69099999999</v>
      </c>
      <c r="AV249">
        <v>130579.63</v>
      </c>
      <c r="AW249">
        <v>127295.624</v>
      </c>
      <c r="AX249">
        <v>122257.732</v>
      </c>
      <c r="AY249">
        <v>120738.247</v>
      </c>
      <c r="AZ249">
        <v>118137.679</v>
      </c>
      <c r="BA249">
        <v>126322.821</v>
      </c>
      <c r="BB249">
        <v>127911.732</v>
      </c>
      <c r="BC249">
        <v>132014.924</v>
      </c>
      <c r="BD249">
        <v>129313.757</v>
      </c>
      <c r="BE249">
        <v>129963.64</v>
      </c>
      <c r="BF249">
        <v>129810.542</v>
      </c>
      <c r="BG249">
        <v>130660.891</v>
      </c>
      <c r="BH249">
        <v>131799.704</v>
      </c>
      <c r="BI249">
        <v>131971.261</v>
      </c>
      <c r="BJ249">
        <v>129969.527</v>
      </c>
      <c r="BK249">
        <v>136117.75899999999</v>
      </c>
      <c r="BL249">
        <v>140019.495</v>
      </c>
      <c r="BM249">
        <v>143962.035</v>
      </c>
      <c r="BN249" t="str">
        <f>""</f>
        <v/>
      </c>
      <c r="BO249" t="str">
        <f>""</f>
        <v/>
      </c>
      <c r="BP249" t="str">
        <f>""</f>
        <v/>
      </c>
      <c r="BQ249" t="str">
        <f>""</f>
        <v/>
      </c>
      <c r="BR249" t="str">
        <f>""</f>
        <v/>
      </c>
      <c r="BS249" t="str">
        <f>""</f>
        <v/>
      </c>
      <c r="BT249" t="str">
        <f>""</f>
        <v/>
      </c>
      <c r="BU249" t="str">
        <f>""</f>
        <v/>
      </c>
      <c r="BV249" t="str">
        <f>""</f>
        <v/>
      </c>
      <c r="BW249" t="str">
        <f>""</f>
        <v/>
      </c>
      <c r="BX249" t="str">
        <f>""</f>
        <v/>
      </c>
      <c r="BY249" t="str">
        <f>""</f>
        <v/>
      </c>
      <c r="BZ249" t="str">
        <f>""</f>
        <v/>
      </c>
      <c r="CA249" t="str">
        <f>""</f>
        <v/>
      </c>
      <c r="CB249" t="str">
        <f>""</f>
        <v/>
      </c>
      <c r="CC249" t="str">
        <f>""</f>
        <v/>
      </c>
      <c r="CD249" t="str">
        <f>""</f>
        <v/>
      </c>
      <c r="CE249" t="str">
        <f>""</f>
        <v/>
      </c>
      <c r="CF249" t="str">
        <f>""</f>
        <v/>
      </c>
      <c r="CG249" t="str">
        <f>""</f>
        <v/>
      </c>
      <c r="CH249" t="str">
        <f>""</f>
        <v/>
      </c>
      <c r="CI249" t="str">
        <f>""</f>
        <v/>
      </c>
      <c r="CJ249" t="str">
        <f>""</f>
        <v/>
      </c>
      <c r="CK249" t="str">
        <f>""</f>
        <v/>
      </c>
      <c r="CL249" t="str">
        <f>""</f>
        <v/>
      </c>
      <c r="CM249" t="str">
        <f>""</f>
        <v/>
      </c>
      <c r="CN249" t="str">
        <f>""</f>
        <v/>
      </c>
      <c r="CO249" t="str">
        <f>""</f>
        <v/>
      </c>
      <c r="CP249" t="str">
        <f>""</f>
        <v/>
      </c>
      <c r="CQ249" t="str">
        <f>""</f>
        <v/>
      </c>
      <c r="CR249" t="str">
        <f>""</f>
        <v/>
      </c>
      <c r="CS249" t="str">
        <f>""</f>
        <v/>
      </c>
      <c r="CT249" t="str">
        <f>""</f>
        <v/>
      </c>
      <c r="CU249" t="str">
        <f>""</f>
        <v/>
      </c>
      <c r="CV249" t="str">
        <f>""</f>
        <v/>
      </c>
      <c r="CW249" t="str">
        <f>""</f>
        <v/>
      </c>
      <c r="CX249" t="str">
        <f>""</f>
        <v/>
      </c>
      <c r="CY249" t="str">
        <f>""</f>
        <v/>
      </c>
      <c r="CZ249" t="str">
        <f>""</f>
        <v/>
      </c>
      <c r="DA249" t="str">
        <f>""</f>
        <v/>
      </c>
      <c r="DB249" t="str">
        <f>""</f>
        <v/>
      </c>
      <c r="DC249" t="str">
        <f>""</f>
        <v/>
      </c>
      <c r="DD249" t="str">
        <f>""</f>
        <v/>
      </c>
      <c r="DE249" t="str">
        <f>""</f>
        <v/>
      </c>
      <c r="DF249" t="str">
        <f>""</f>
        <v/>
      </c>
      <c r="DG249" t="str">
        <f>""</f>
        <v/>
      </c>
      <c r="DH249" t="str">
        <f>""</f>
        <v/>
      </c>
      <c r="DI249" t="str">
        <f>""</f>
        <v/>
      </c>
      <c r="DJ249" t="str">
        <f>""</f>
        <v/>
      </c>
      <c r="DK249" t="str">
        <f>""</f>
        <v/>
      </c>
      <c r="DL249" t="str">
        <f>""</f>
        <v/>
      </c>
      <c r="DM249" t="str">
        <f>""</f>
        <v/>
      </c>
      <c r="DN249" t="str">
        <f>""</f>
        <v/>
      </c>
      <c r="DO249" t="str">
        <f>""</f>
        <v/>
      </c>
      <c r="DP249" t="str">
        <f>""</f>
        <v/>
      </c>
      <c r="DQ249" t="str">
        <f>""</f>
        <v/>
      </c>
      <c r="DR249" t="str">
        <f>""</f>
        <v/>
      </c>
      <c r="DS249" t="str">
        <f>""</f>
        <v/>
      </c>
      <c r="DT249" t="str">
        <f>""</f>
        <v/>
      </c>
      <c r="DU249" t="str">
        <f>""</f>
        <v/>
      </c>
    </row>
    <row r="250" spans="1:125" x14ac:dyDescent="0.25">
      <c r="A250" t="str">
        <f>$A$113</f>
        <v xml:space="preserve">            Capital One Financial Corp</v>
      </c>
      <c r="B250" t="str">
        <f>$B$113</f>
        <v>COF US Equity</v>
      </c>
      <c r="C250" t="str">
        <f>$C$113</f>
        <v>FC001</v>
      </c>
      <c r="D250" t="str">
        <f>$D$113</f>
        <v>FDIC_TOTAL_ASSETS</v>
      </c>
      <c r="E250" t="str">
        <f>$E$113</f>
        <v>Dynamic</v>
      </c>
      <c r="F250">
        <f ca="1">_xll.BDH($B$113,$C$113,$B$143,$B$144,CONCATENATE("Per=",$B$141),"Dts=H","Dir=H",CONCATENATE("Points=",$B$142),"Sort=R","Days=A","Fill=B",CONCATENATE("FX=", $B$140),"cols=60;rows=1")</f>
        <v>490144.03200000001</v>
      </c>
      <c r="G250">
        <v>486432.79599999997</v>
      </c>
      <c r="H250">
        <v>480017.82199999999</v>
      </c>
      <c r="I250">
        <v>481719.68400000001</v>
      </c>
      <c r="J250">
        <v>478464.223</v>
      </c>
      <c r="K250">
        <v>471434.73700000002</v>
      </c>
      <c r="L250">
        <v>467799.62300000002</v>
      </c>
      <c r="M250">
        <v>471660.065</v>
      </c>
      <c r="N250">
        <v>455249.08</v>
      </c>
      <c r="O250">
        <v>444232.09899999999</v>
      </c>
      <c r="P250">
        <v>440287.66700000002</v>
      </c>
      <c r="Q250">
        <v>434195.24900000001</v>
      </c>
      <c r="R250">
        <v>432381.054</v>
      </c>
      <c r="S250">
        <v>425377.45500000002</v>
      </c>
      <c r="T250">
        <v>423420.28899999999</v>
      </c>
      <c r="U250">
        <v>425175.12199999997</v>
      </c>
      <c r="V250">
        <v>421602.06599999999</v>
      </c>
      <c r="W250">
        <v>421882.80900000001</v>
      </c>
      <c r="X250">
        <v>421296.04700000002</v>
      </c>
      <c r="Y250">
        <v>396878.03100000002</v>
      </c>
      <c r="Z250">
        <v>390364.86599999998</v>
      </c>
      <c r="AA250">
        <v>378810.38699999999</v>
      </c>
      <c r="AB250">
        <v>373618.924</v>
      </c>
      <c r="AC250">
        <v>373191.353</v>
      </c>
      <c r="AD250">
        <v>372537.59700000001</v>
      </c>
      <c r="AE250">
        <v>362909.35600000003</v>
      </c>
      <c r="AF250">
        <v>363989.30200000003</v>
      </c>
      <c r="AG250">
        <v>362857.35800000001</v>
      </c>
      <c r="AH250">
        <v>365692.66899999999</v>
      </c>
      <c r="AI250">
        <v>361401.88500000001</v>
      </c>
      <c r="AJ250">
        <v>350592.89399999997</v>
      </c>
      <c r="AK250">
        <v>348549.33899999998</v>
      </c>
      <c r="AL250">
        <v>357158.29399999999</v>
      </c>
      <c r="AM250">
        <v>345187.277</v>
      </c>
      <c r="AN250">
        <v>339247.71799999999</v>
      </c>
      <c r="AO250">
        <v>330489.23499999999</v>
      </c>
      <c r="AP250">
        <v>334179.91600000003</v>
      </c>
      <c r="AQ250">
        <v>313827.58399999997</v>
      </c>
      <c r="AR250">
        <v>310636.49699999997</v>
      </c>
      <c r="AS250">
        <v>306501.32400000002</v>
      </c>
      <c r="AT250">
        <v>309083.48100000003</v>
      </c>
      <c r="AU250">
        <v>300444.02</v>
      </c>
      <c r="AV250">
        <v>298653.92800000001</v>
      </c>
      <c r="AW250">
        <v>290886.18</v>
      </c>
      <c r="AX250">
        <v>297282.098</v>
      </c>
      <c r="AY250">
        <v>290217.68699999998</v>
      </c>
      <c r="AZ250">
        <v>296670.31400000001</v>
      </c>
      <c r="BA250">
        <v>300293.69900000002</v>
      </c>
      <c r="BB250">
        <v>313040.68800000002</v>
      </c>
      <c r="BC250">
        <v>302114.103</v>
      </c>
      <c r="BD250">
        <v>296698.16800000001</v>
      </c>
      <c r="BE250">
        <v>294573.73100000003</v>
      </c>
      <c r="BF250">
        <v>206103.658</v>
      </c>
      <c r="BG250">
        <v>200148.49600000001</v>
      </c>
      <c r="BH250">
        <v>199753.11300000001</v>
      </c>
      <c r="BI250">
        <v>199300.23800000001</v>
      </c>
      <c r="BJ250">
        <v>197503.41099999999</v>
      </c>
      <c r="BK250">
        <v>196932.74900000001</v>
      </c>
      <c r="BL250">
        <v>197488.67800000001</v>
      </c>
      <c r="BM250">
        <v>200707.587</v>
      </c>
      <c r="BN250" t="str">
        <f>""</f>
        <v/>
      </c>
      <c r="BO250" t="str">
        <f>""</f>
        <v/>
      </c>
      <c r="BP250" t="str">
        <f>""</f>
        <v/>
      </c>
      <c r="BQ250" t="str">
        <f>""</f>
        <v/>
      </c>
      <c r="BR250" t="str">
        <f>""</f>
        <v/>
      </c>
      <c r="BS250" t="str">
        <f>""</f>
        <v/>
      </c>
      <c r="BT250" t="str">
        <f>""</f>
        <v/>
      </c>
      <c r="BU250" t="str">
        <f>""</f>
        <v/>
      </c>
      <c r="BV250" t="str">
        <f>""</f>
        <v/>
      </c>
      <c r="BW250" t="str">
        <f>""</f>
        <v/>
      </c>
      <c r="BX250" t="str">
        <f>""</f>
        <v/>
      </c>
      <c r="BY250" t="str">
        <f>""</f>
        <v/>
      </c>
      <c r="BZ250" t="str">
        <f>""</f>
        <v/>
      </c>
      <c r="CA250" t="str">
        <f>""</f>
        <v/>
      </c>
      <c r="CB250" t="str">
        <f>""</f>
        <v/>
      </c>
      <c r="CC250" t="str">
        <f>""</f>
        <v/>
      </c>
      <c r="CD250" t="str">
        <f>""</f>
        <v/>
      </c>
      <c r="CE250" t="str">
        <f>""</f>
        <v/>
      </c>
      <c r="CF250" t="str">
        <f>""</f>
        <v/>
      </c>
      <c r="CG250" t="str">
        <f>""</f>
        <v/>
      </c>
      <c r="CH250" t="str">
        <f>""</f>
        <v/>
      </c>
      <c r="CI250" t="str">
        <f>""</f>
        <v/>
      </c>
      <c r="CJ250" t="str">
        <f>""</f>
        <v/>
      </c>
      <c r="CK250" t="str">
        <f>""</f>
        <v/>
      </c>
      <c r="CL250" t="str">
        <f>""</f>
        <v/>
      </c>
      <c r="CM250" t="str">
        <f>""</f>
        <v/>
      </c>
      <c r="CN250" t="str">
        <f>""</f>
        <v/>
      </c>
      <c r="CO250" t="str">
        <f>""</f>
        <v/>
      </c>
      <c r="CP250" t="str">
        <f>""</f>
        <v/>
      </c>
      <c r="CQ250" t="str">
        <f>""</f>
        <v/>
      </c>
      <c r="CR250" t="str">
        <f>""</f>
        <v/>
      </c>
      <c r="CS250" t="str">
        <f>""</f>
        <v/>
      </c>
      <c r="CT250" t="str">
        <f>""</f>
        <v/>
      </c>
      <c r="CU250" t="str">
        <f>""</f>
        <v/>
      </c>
      <c r="CV250" t="str">
        <f>""</f>
        <v/>
      </c>
      <c r="CW250" t="str">
        <f>""</f>
        <v/>
      </c>
      <c r="CX250" t="str">
        <f>""</f>
        <v/>
      </c>
      <c r="CY250" t="str">
        <f>""</f>
        <v/>
      </c>
      <c r="CZ250" t="str">
        <f>""</f>
        <v/>
      </c>
      <c r="DA250" t="str">
        <f>""</f>
        <v/>
      </c>
      <c r="DB250" t="str">
        <f>""</f>
        <v/>
      </c>
      <c r="DC250" t="str">
        <f>""</f>
        <v/>
      </c>
      <c r="DD250" t="str">
        <f>""</f>
        <v/>
      </c>
      <c r="DE250" t="str">
        <f>""</f>
        <v/>
      </c>
      <c r="DF250" t="str">
        <f>""</f>
        <v/>
      </c>
      <c r="DG250" t="str">
        <f>""</f>
        <v/>
      </c>
      <c r="DH250" t="str">
        <f>""</f>
        <v/>
      </c>
      <c r="DI250" t="str">
        <f>""</f>
        <v/>
      </c>
      <c r="DJ250" t="str">
        <f>""</f>
        <v/>
      </c>
      <c r="DK250" t="str">
        <f>""</f>
        <v/>
      </c>
      <c r="DL250" t="str">
        <f>""</f>
        <v/>
      </c>
      <c r="DM250" t="str">
        <f>""</f>
        <v/>
      </c>
      <c r="DN250" t="str">
        <f>""</f>
        <v/>
      </c>
      <c r="DO250" t="str">
        <f>""</f>
        <v/>
      </c>
      <c r="DP250" t="str">
        <f>""</f>
        <v/>
      </c>
      <c r="DQ250" t="str">
        <f>""</f>
        <v/>
      </c>
      <c r="DR250" t="str">
        <f>""</f>
        <v/>
      </c>
      <c r="DS250" t="str">
        <f>""</f>
        <v/>
      </c>
      <c r="DT250" t="str">
        <f>""</f>
        <v/>
      </c>
      <c r="DU250" t="str">
        <f>""</f>
        <v/>
      </c>
    </row>
    <row r="251" spans="1:125" x14ac:dyDescent="0.25">
      <c r="A251" t="str">
        <f>$A$114</f>
        <v xml:space="preserve">            Comerica Inc</v>
      </c>
      <c r="B251" t="str">
        <f>$B$114</f>
        <v>CMA US Equity</v>
      </c>
      <c r="C251" t="str">
        <f>$C$114</f>
        <v>FC001</v>
      </c>
      <c r="D251" t="str">
        <f>$D$114</f>
        <v>FDIC_TOTAL_ASSETS</v>
      </c>
      <c r="E251" t="str">
        <f>$E$114</f>
        <v>Dynamic</v>
      </c>
      <c r="F251">
        <f ca="1">_xll.BDH($B$114,$C$114,$B$143,$B$144,CONCATENATE("Per=",$B$141),"Dts=H","Dir=H",CONCATENATE("Points=",$B$142),"Sort=R","Days=A","Fill=B",CONCATENATE("FX=", $B$140),"cols=60;rows=1")</f>
        <v>79469</v>
      </c>
      <c r="G251">
        <v>79923</v>
      </c>
      <c r="H251">
        <v>79792</v>
      </c>
      <c r="I251">
        <v>79660</v>
      </c>
      <c r="J251">
        <v>86046</v>
      </c>
      <c r="K251">
        <v>85909</v>
      </c>
      <c r="L251">
        <v>90994</v>
      </c>
      <c r="M251">
        <v>91327</v>
      </c>
      <c r="N251">
        <v>85648</v>
      </c>
      <c r="O251">
        <v>84344</v>
      </c>
      <c r="P251">
        <v>87179</v>
      </c>
      <c r="Q251">
        <v>89318</v>
      </c>
      <c r="R251">
        <v>95001</v>
      </c>
      <c r="S251">
        <v>94722</v>
      </c>
      <c r="T251">
        <v>88515</v>
      </c>
      <c r="U251">
        <v>86475</v>
      </c>
      <c r="V251">
        <v>88320</v>
      </c>
      <c r="W251">
        <v>83791</v>
      </c>
      <c r="X251">
        <v>84603</v>
      </c>
      <c r="Y251">
        <v>76457</v>
      </c>
      <c r="Z251">
        <v>73519</v>
      </c>
      <c r="AA251">
        <v>73081</v>
      </c>
      <c r="AB251">
        <v>72592</v>
      </c>
      <c r="AC251">
        <v>70796</v>
      </c>
      <c r="AD251">
        <v>70906.002999999997</v>
      </c>
      <c r="AE251">
        <v>71590.232000000004</v>
      </c>
      <c r="AF251">
        <v>72204.035999999993</v>
      </c>
      <c r="AG251">
        <v>72417.712</v>
      </c>
      <c r="AH251">
        <v>71691.611999999994</v>
      </c>
      <c r="AI251">
        <v>72268.505999999994</v>
      </c>
      <c r="AJ251">
        <v>71630.277000000002</v>
      </c>
      <c r="AK251">
        <v>73169.721000000005</v>
      </c>
      <c r="AL251">
        <v>73129.914999999994</v>
      </c>
      <c r="AM251">
        <v>74396.635999999999</v>
      </c>
      <c r="AN251">
        <v>71440.154999999999</v>
      </c>
      <c r="AO251">
        <v>69131.436000000002</v>
      </c>
      <c r="AP251">
        <v>71983.051000000007</v>
      </c>
      <c r="AQ251">
        <v>71212.884999999995</v>
      </c>
      <c r="AR251">
        <v>70053.205000000002</v>
      </c>
      <c r="AS251">
        <v>69420.232999999993</v>
      </c>
      <c r="AT251">
        <v>69452.409</v>
      </c>
      <c r="AU251">
        <v>68949.210000000006</v>
      </c>
      <c r="AV251">
        <v>65386.080999999998</v>
      </c>
      <c r="AW251">
        <v>65832.917000000001</v>
      </c>
      <c r="AX251">
        <v>65356.58</v>
      </c>
      <c r="AY251">
        <v>64723.31</v>
      </c>
      <c r="AZ251">
        <v>63013.097000000002</v>
      </c>
      <c r="BA251">
        <v>64975.279000000002</v>
      </c>
      <c r="BB251">
        <v>65398.175000000003</v>
      </c>
      <c r="BC251">
        <v>63449.196000000004</v>
      </c>
      <c r="BD251">
        <v>62756.597000000002</v>
      </c>
      <c r="BE251">
        <v>62682.288999999997</v>
      </c>
      <c r="BF251">
        <v>61139.192000000003</v>
      </c>
      <c r="BG251">
        <v>60991.256000000001</v>
      </c>
      <c r="BH251">
        <v>54244.445</v>
      </c>
      <c r="BI251">
        <v>55237.678</v>
      </c>
      <c r="BJ251">
        <v>54001.082999999999</v>
      </c>
      <c r="BK251">
        <v>55154.553</v>
      </c>
      <c r="BL251">
        <v>55997.504999999997</v>
      </c>
      <c r="BM251">
        <v>57225.093999999997</v>
      </c>
      <c r="BN251" t="str">
        <f>""</f>
        <v/>
      </c>
      <c r="BO251" t="str">
        <f>""</f>
        <v/>
      </c>
      <c r="BP251" t="str">
        <f>""</f>
        <v/>
      </c>
      <c r="BQ251" t="str">
        <f>""</f>
        <v/>
      </c>
      <c r="BR251" t="str">
        <f>""</f>
        <v/>
      </c>
      <c r="BS251" t="str">
        <f>""</f>
        <v/>
      </c>
      <c r="BT251" t="str">
        <f>""</f>
        <v/>
      </c>
      <c r="BU251" t="str">
        <f>""</f>
        <v/>
      </c>
      <c r="BV251" t="str">
        <f>""</f>
        <v/>
      </c>
      <c r="BW251" t="str">
        <f>""</f>
        <v/>
      </c>
      <c r="BX251" t="str">
        <f>""</f>
        <v/>
      </c>
      <c r="BY251" t="str">
        <f>""</f>
        <v/>
      </c>
      <c r="BZ251" t="str">
        <f>""</f>
        <v/>
      </c>
      <c r="CA251" t="str">
        <f>""</f>
        <v/>
      </c>
      <c r="CB251" t="str">
        <f>""</f>
        <v/>
      </c>
      <c r="CC251" t="str">
        <f>""</f>
        <v/>
      </c>
      <c r="CD251" t="str">
        <f>""</f>
        <v/>
      </c>
      <c r="CE251" t="str">
        <f>""</f>
        <v/>
      </c>
      <c r="CF251" t="str">
        <f>""</f>
        <v/>
      </c>
      <c r="CG251" t="str">
        <f>""</f>
        <v/>
      </c>
      <c r="CH251" t="str">
        <f>""</f>
        <v/>
      </c>
      <c r="CI251" t="str">
        <f>""</f>
        <v/>
      </c>
      <c r="CJ251" t="str">
        <f>""</f>
        <v/>
      </c>
      <c r="CK251" t="str">
        <f>""</f>
        <v/>
      </c>
      <c r="CL251" t="str">
        <f>""</f>
        <v/>
      </c>
      <c r="CM251" t="str">
        <f>""</f>
        <v/>
      </c>
      <c r="CN251" t="str">
        <f>""</f>
        <v/>
      </c>
      <c r="CO251" t="str">
        <f>""</f>
        <v/>
      </c>
      <c r="CP251" t="str">
        <f>""</f>
        <v/>
      </c>
      <c r="CQ251" t="str">
        <f>""</f>
        <v/>
      </c>
      <c r="CR251" t="str">
        <f>""</f>
        <v/>
      </c>
      <c r="CS251" t="str">
        <f>""</f>
        <v/>
      </c>
      <c r="CT251" t="str">
        <f>""</f>
        <v/>
      </c>
      <c r="CU251" t="str">
        <f>""</f>
        <v/>
      </c>
      <c r="CV251" t="str">
        <f>""</f>
        <v/>
      </c>
      <c r="CW251" t="str">
        <f>""</f>
        <v/>
      </c>
      <c r="CX251" t="str">
        <f>""</f>
        <v/>
      </c>
      <c r="CY251" t="str">
        <f>""</f>
        <v/>
      </c>
      <c r="CZ251" t="str">
        <f>""</f>
        <v/>
      </c>
      <c r="DA251" t="str">
        <f>""</f>
        <v/>
      </c>
      <c r="DB251" t="str">
        <f>""</f>
        <v/>
      </c>
      <c r="DC251" t="str">
        <f>""</f>
        <v/>
      </c>
      <c r="DD251" t="str">
        <f>""</f>
        <v/>
      </c>
      <c r="DE251" t="str">
        <f>""</f>
        <v/>
      </c>
      <c r="DF251" t="str">
        <f>""</f>
        <v/>
      </c>
      <c r="DG251" t="str">
        <f>""</f>
        <v/>
      </c>
      <c r="DH251" t="str">
        <f>""</f>
        <v/>
      </c>
      <c r="DI251" t="str">
        <f>""</f>
        <v/>
      </c>
      <c r="DJ251" t="str">
        <f>""</f>
        <v/>
      </c>
      <c r="DK251" t="str">
        <f>""</f>
        <v/>
      </c>
      <c r="DL251" t="str">
        <f>""</f>
        <v/>
      </c>
      <c r="DM251" t="str">
        <f>""</f>
        <v/>
      </c>
      <c r="DN251" t="str">
        <f>""</f>
        <v/>
      </c>
      <c r="DO251" t="str">
        <f>""</f>
        <v/>
      </c>
      <c r="DP251" t="str">
        <f>""</f>
        <v/>
      </c>
      <c r="DQ251" t="str">
        <f>""</f>
        <v/>
      </c>
      <c r="DR251" t="str">
        <f>""</f>
        <v/>
      </c>
      <c r="DS251" t="str">
        <f>""</f>
        <v/>
      </c>
      <c r="DT251" t="str">
        <f>""</f>
        <v/>
      </c>
      <c r="DU251" t="str">
        <f>""</f>
        <v/>
      </c>
    </row>
    <row r="252" spans="1:125" x14ac:dyDescent="0.25">
      <c r="A252" t="str">
        <f>$A$115</f>
        <v xml:space="preserve">            East West Bancorp Inc</v>
      </c>
      <c r="B252" t="str">
        <f>$B$115</f>
        <v>EWBC US Equity</v>
      </c>
      <c r="C252" t="str">
        <f>$C$115</f>
        <v>FC001</v>
      </c>
      <c r="D252" t="str">
        <f>$D$115</f>
        <v>FDIC_TOTAL_ASSETS</v>
      </c>
      <c r="E252" t="str">
        <f>$E$115</f>
        <v>Dynamic</v>
      </c>
      <c r="F252">
        <f ca="1">_xll.BDH($B$115,$C$115,$B$143,$B$144,CONCATENATE("Per=",$B$141),"Dts=H","Dir=H",CONCATENATE("Points=",$B$142),"Sort=R","Days=A","Fill=B",CONCATENATE("FX=", $B$140),"cols=60;rows=1")</f>
        <v>75976.475000000006</v>
      </c>
      <c r="G252">
        <v>74483.72</v>
      </c>
      <c r="H252">
        <v>72468.271999999997</v>
      </c>
      <c r="I252">
        <v>70875.67</v>
      </c>
      <c r="J252">
        <v>69612.884000000005</v>
      </c>
      <c r="K252">
        <v>68289.457999999999</v>
      </c>
      <c r="L252">
        <v>68532.680999999997</v>
      </c>
      <c r="M252">
        <v>67244.898000000001</v>
      </c>
      <c r="N252">
        <v>64112.15</v>
      </c>
      <c r="O252">
        <v>62576.061000000002</v>
      </c>
      <c r="P252">
        <v>62394.283000000003</v>
      </c>
      <c r="Q252">
        <v>62241.455999999998</v>
      </c>
      <c r="R252">
        <v>60870.701000000001</v>
      </c>
      <c r="S252">
        <v>60959.11</v>
      </c>
      <c r="T252">
        <v>59854.875999999997</v>
      </c>
      <c r="U252">
        <v>56874.146000000001</v>
      </c>
      <c r="V252">
        <v>52156.913</v>
      </c>
      <c r="W252">
        <v>50371.476999999999</v>
      </c>
      <c r="X252">
        <v>49407.593000000001</v>
      </c>
      <c r="Y252">
        <v>45948.544999999998</v>
      </c>
      <c r="Z252">
        <v>44196.095999999998</v>
      </c>
      <c r="AA252">
        <v>43274.659</v>
      </c>
      <c r="AB252">
        <v>42892.358</v>
      </c>
      <c r="AC252">
        <v>42091.432999999997</v>
      </c>
      <c r="AD252">
        <v>41042.356</v>
      </c>
      <c r="AE252">
        <v>39073.106</v>
      </c>
      <c r="AF252">
        <v>38072.953999999998</v>
      </c>
      <c r="AG252">
        <v>37693.158000000003</v>
      </c>
      <c r="AH252">
        <v>37150.249000000003</v>
      </c>
      <c r="AI252">
        <v>36328.930999999997</v>
      </c>
      <c r="AJ252">
        <v>35926.781999999999</v>
      </c>
      <c r="AK252">
        <v>35348.696000000004</v>
      </c>
      <c r="AL252">
        <v>34796.853999999999</v>
      </c>
      <c r="AM252">
        <v>33269.938000000002</v>
      </c>
      <c r="AN252">
        <v>32952.137999999999</v>
      </c>
      <c r="AO252">
        <v>33109.184999999998</v>
      </c>
      <c r="AP252">
        <v>32351.171999999999</v>
      </c>
      <c r="AQ252">
        <v>31119.855</v>
      </c>
      <c r="AR252">
        <v>30064.322</v>
      </c>
      <c r="AS252">
        <v>29907.423999999999</v>
      </c>
      <c r="AT252">
        <v>28738.323</v>
      </c>
      <c r="AU252">
        <v>28481.155999999999</v>
      </c>
      <c r="AV252">
        <v>27556.917000000001</v>
      </c>
      <c r="AW252">
        <v>27401.437999999998</v>
      </c>
      <c r="AX252">
        <v>24730.609</v>
      </c>
      <c r="AY252">
        <v>24493.454000000002</v>
      </c>
      <c r="AZ252">
        <v>23314.134999999998</v>
      </c>
      <c r="BA252">
        <v>23102.005000000001</v>
      </c>
      <c r="BB252">
        <v>22536.281999999999</v>
      </c>
      <c r="BC252">
        <v>21813.361000000001</v>
      </c>
      <c r="BD252">
        <v>21525.82</v>
      </c>
      <c r="BE252">
        <v>21749.819</v>
      </c>
      <c r="BF252">
        <v>21968.901999999998</v>
      </c>
      <c r="BG252">
        <v>21813.203000000001</v>
      </c>
      <c r="BH252">
        <v>21872.774000000001</v>
      </c>
      <c r="BI252">
        <v>21147.080999999998</v>
      </c>
      <c r="BJ252">
        <v>20700.642</v>
      </c>
      <c r="BK252">
        <v>20417.394</v>
      </c>
      <c r="BL252">
        <v>19967.321</v>
      </c>
      <c r="BM252">
        <v>20299.175999999999</v>
      </c>
      <c r="BN252" t="str">
        <f>""</f>
        <v/>
      </c>
      <c r="BO252" t="str">
        <f>""</f>
        <v/>
      </c>
      <c r="BP252" t="str">
        <f>""</f>
        <v/>
      </c>
      <c r="BQ252" t="str">
        <f>""</f>
        <v/>
      </c>
      <c r="BR252" t="str">
        <f>""</f>
        <v/>
      </c>
      <c r="BS252" t="str">
        <f>""</f>
        <v/>
      </c>
      <c r="BT252" t="str">
        <f>""</f>
        <v/>
      </c>
      <c r="BU252" t="str">
        <f>""</f>
        <v/>
      </c>
      <c r="BV252" t="str">
        <f>""</f>
        <v/>
      </c>
      <c r="BW252" t="str">
        <f>""</f>
        <v/>
      </c>
      <c r="BX252" t="str">
        <f>""</f>
        <v/>
      </c>
      <c r="BY252" t="str">
        <f>""</f>
        <v/>
      </c>
      <c r="BZ252" t="str">
        <f>""</f>
        <v/>
      </c>
      <c r="CA252" t="str">
        <f>""</f>
        <v/>
      </c>
      <c r="CB252" t="str">
        <f>""</f>
        <v/>
      </c>
      <c r="CC252" t="str">
        <f>""</f>
        <v/>
      </c>
      <c r="CD252" t="str">
        <f>""</f>
        <v/>
      </c>
      <c r="CE252" t="str">
        <f>""</f>
        <v/>
      </c>
      <c r="CF252" t="str">
        <f>""</f>
        <v/>
      </c>
      <c r="CG252" t="str">
        <f>""</f>
        <v/>
      </c>
      <c r="CH252" t="str">
        <f>""</f>
        <v/>
      </c>
      <c r="CI252" t="str">
        <f>""</f>
        <v/>
      </c>
      <c r="CJ252" t="str">
        <f>""</f>
        <v/>
      </c>
      <c r="CK252" t="str">
        <f>""</f>
        <v/>
      </c>
      <c r="CL252" t="str">
        <f>""</f>
        <v/>
      </c>
      <c r="CM252" t="str">
        <f>""</f>
        <v/>
      </c>
      <c r="CN252" t="str">
        <f>""</f>
        <v/>
      </c>
      <c r="CO252" t="str">
        <f>""</f>
        <v/>
      </c>
      <c r="CP252" t="str">
        <f>""</f>
        <v/>
      </c>
      <c r="CQ252" t="str">
        <f>""</f>
        <v/>
      </c>
      <c r="CR252" t="str">
        <f>""</f>
        <v/>
      </c>
      <c r="CS252" t="str">
        <f>""</f>
        <v/>
      </c>
      <c r="CT252" t="str">
        <f>""</f>
        <v/>
      </c>
      <c r="CU252" t="str">
        <f>""</f>
        <v/>
      </c>
      <c r="CV252" t="str">
        <f>""</f>
        <v/>
      </c>
      <c r="CW252" t="str">
        <f>""</f>
        <v/>
      </c>
      <c r="CX252" t="str">
        <f>""</f>
        <v/>
      </c>
      <c r="CY252" t="str">
        <f>""</f>
        <v/>
      </c>
      <c r="CZ252" t="str">
        <f>""</f>
        <v/>
      </c>
      <c r="DA252" t="str">
        <f>""</f>
        <v/>
      </c>
      <c r="DB252" t="str">
        <f>""</f>
        <v/>
      </c>
      <c r="DC252" t="str">
        <f>""</f>
        <v/>
      </c>
      <c r="DD252" t="str">
        <f>""</f>
        <v/>
      </c>
      <c r="DE252" t="str">
        <f>""</f>
        <v/>
      </c>
      <c r="DF252" t="str">
        <f>""</f>
        <v/>
      </c>
      <c r="DG252" t="str">
        <f>""</f>
        <v/>
      </c>
      <c r="DH252" t="str">
        <f>""</f>
        <v/>
      </c>
      <c r="DI252" t="str">
        <f>""</f>
        <v/>
      </c>
      <c r="DJ252" t="str">
        <f>""</f>
        <v/>
      </c>
      <c r="DK252" t="str">
        <f>""</f>
        <v/>
      </c>
      <c r="DL252" t="str">
        <f>""</f>
        <v/>
      </c>
      <c r="DM252" t="str">
        <f>""</f>
        <v/>
      </c>
      <c r="DN252" t="str">
        <f>""</f>
        <v/>
      </c>
      <c r="DO252" t="str">
        <f>""</f>
        <v/>
      </c>
      <c r="DP252" t="str">
        <f>""</f>
        <v/>
      </c>
      <c r="DQ252" t="str">
        <f>""</f>
        <v/>
      </c>
      <c r="DR252" t="str">
        <f>""</f>
        <v/>
      </c>
      <c r="DS252" t="str">
        <f>""</f>
        <v/>
      </c>
      <c r="DT252" t="str">
        <f>""</f>
        <v/>
      </c>
      <c r="DU252" t="str">
        <f>""</f>
        <v/>
      </c>
    </row>
    <row r="253" spans="1:125" x14ac:dyDescent="0.25">
      <c r="A253" t="str">
        <f>$A$116</f>
        <v xml:space="preserve">            Fifth Third Bancorp</v>
      </c>
      <c r="B253" t="str">
        <f>$B$116</f>
        <v>FITB US Equity</v>
      </c>
      <c r="C253" t="str">
        <f>$C$116</f>
        <v>FC001</v>
      </c>
      <c r="D253" t="str">
        <f>$D$116</f>
        <v>FDIC_TOTAL_ASSETS</v>
      </c>
      <c r="E253" t="str">
        <f>$E$116</f>
        <v>Dynamic</v>
      </c>
      <c r="F253">
        <f ca="1">_xll.BDH($B$116,$C$116,$B$143,$B$144,CONCATENATE("Per=",$B$141),"Dts=H","Dir=H",CONCATENATE("Points=",$B$142),"Sort=R","Days=A","Fill=B",CONCATENATE("FX=", $B$140),"cols=60;rows=1")</f>
        <v>212927</v>
      </c>
      <c r="G253">
        <v>214318</v>
      </c>
      <c r="H253">
        <v>213262</v>
      </c>
      <c r="I253">
        <v>214506</v>
      </c>
      <c r="J253">
        <v>214574</v>
      </c>
      <c r="K253">
        <v>212967</v>
      </c>
      <c r="L253">
        <v>207276</v>
      </c>
      <c r="M253">
        <v>208657</v>
      </c>
      <c r="N253">
        <v>207452.35699999999</v>
      </c>
      <c r="O253">
        <v>205463.245</v>
      </c>
      <c r="P253">
        <v>206782.16800000001</v>
      </c>
      <c r="Q253">
        <v>211458.82199999999</v>
      </c>
      <c r="R253">
        <v>211115.886</v>
      </c>
      <c r="S253">
        <v>207730.84099999999</v>
      </c>
      <c r="T253">
        <v>205389.95800000001</v>
      </c>
      <c r="U253">
        <v>206899.448</v>
      </c>
      <c r="V253">
        <v>204679.93299999999</v>
      </c>
      <c r="W253">
        <v>201995.87700000001</v>
      </c>
      <c r="X253">
        <v>202905.62400000001</v>
      </c>
      <c r="Y253">
        <v>185391.07</v>
      </c>
      <c r="Z253">
        <v>169369.16899999999</v>
      </c>
      <c r="AA253">
        <v>171078.86900000001</v>
      </c>
      <c r="AB253">
        <v>168802.05799999999</v>
      </c>
      <c r="AC253">
        <v>167853.32800000001</v>
      </c>
      <c r="AD253">
        <v>146069.35500000001</v>
      </c>
      <c r="AE253">
        <v>141684.87899999999</v>
      </c>
      <c r="AF253">
        <v>140695.25599999999</v>
      </c>
      <c r="AG253">
        <v>141500.435</v>
      </c>
      <c r="AH253">
        <v>142193.41</v>
      </c>
      <c r="AI253">
        <v>142264.09700000001</v>
      </c>
      <c r="AJ253">
        <v>141066.72500000001</v>
      </c>
      <c r="AK253">
        <v>140199.62599999999</v>
      </c>
      <c r="AL253">
        <v>142176.82999999999</v>
      </c>
      <c r="AM253">
        <v>143278.886</v>
      </c>
      <c r="AN253">
        <v>143625.32500000001</v>
      </c>
      <c r="AO253">
        <v>142430.20699999999</v>
      </c>
      <c r="AP253">
        <v>141082.05900000001</v>
      </c>
      <c r="AQ253">
        <v>141917.76300000001</v>
      </c>
      <c r="AR253">
        <v>141658.13</v>
      </c>
      <c r="AS253">
        <v>140469.916</v>
      </c>
      <c r="AT253">
        <v>138705.64000000001</v>
      </c>
      <c r="AU253">
        <v>134187.72200000001</v>
      </c>
      <c r="AV253">
        <v>132562.38200000001</v>
      </c>
      <c r="AW253">
        <v>129654.48699999999</v>
      </c>
      <c r="AX253">
        <v>130442.754</v>
      </c>
      <c r="AY253">
        <v>125672.96400000001</v>
      </c>
      <c r="AZ253">
        <v>123360.351</v>
      </c>
      <c r="BA253">
        <v>121381.537</v>
      </c>
      <c r="BB253">
        <v>121893.74800000001</v>
      </c>
      <c r="BC253">
        <v>117482.86900000001</v>
      </c>
      <c r="BD253">
        <v>117542.579</v>
      </c>
      <c r="BE253">
        <v>116747.098</v>
      </c>
      <c r="BF253">
        <v>116966.697</v>
      </c>
      <c r="BG253">
        <v>114904.74099999999</v>
      </c>
      <c r="BH253">
        <v>110804.76</v>
      </c>
      <c r="BI253">
        <v>110484.94500000001</v>
      </c>
      <c r="BJ253">
        <v>111006.77800000001</v>
      </c>
      <c r="BK253">
        <v>112322.07799999999</v>
      </c>
      <c r="BL253">
        <v>112025.234</v>
      </c>
      <c r="BM253">
        <v>112651.31299999999</v>
      </c>
      <c r="BN253" t="str">
        <f>""</f>
        <v/>
      </c>
      <c r="BO253" t="str">
        <f>""</f>
        <v/>
      </c>
      <c r="BP253" t="str">
        <f>""</f>
        <v/>
      </c>
      <c r="BQ253" t="str">
        <f>""</f>
        <v/>
      </c>
      <c r="BR253" t="str">
        <f>""</f>
        <v/>
      </c>
      <c r="BS253" t="str">
        <f>""</f>
        <v/>
      </c>
      <c r="BT253" t="str">
        <f>""</f>
        <v/>
      </c>
      <c r="BU253" t="str">
        <f>""</f>
        <v/>
      </c>
      <c r="BV253" t="str">
        <f>""</f>
        <v/>
      </c>
      <c r="BW253" t="str">
        <f>""</f>
        <v/>
      </c>
      <c r="BX253" t="str">
        <f>""</f>
        <v/>
      </c>
      <c r="BY253" t="str">
        <f>""</f>
        <v/>
      </c>
      <c r="BZ253" t="str">
        <f>""</f>
        <v/>
      </c>
      <c r="CA253" t="str">
        <f>""</f>
        <v/>
      </c>
      <c r="CB253" t="str">
        <f>""</f>
        <v/>
      </c>
      <c r="CC253" t="str">
        <f>""</f>
        <v/>
      </c>
      <c r="CD253" t="str">
        <f>""</f>
        <v/>
      </c>
      <c r="CE253" t="str">
        <f>""</f>
        <v/>
      </c>
      <c r="CF253" t="str">
        <f>""</f>
        <v/>
      </c>
      <c r="CG253" t="str">
        <f>""</f>
        <v/>
      </c>
      <c r="CH253" t="str">
        <f>""</f>
        <v/>
      </c>
      <c r="CI253" t="str">
        <f>""</f>
        <v/>
      </c>
      <c r="CJ253" t="str">
        <f>""</f>
        <v/>
      </c>
      <c r="CK253" t="str">
        <f>""</f>
        <v/>
      </c>
      <c r="CL253" t="str">
        <f>""</f>
        <v/>
      </c>
      <c r="CM253" t="str">
        <f>""</f>
        <v/>
      </c>
      <c r="CN253" t="str">
        <f>""</f>
        <v/>
      </c>
      <c r="CO253" t="str">
        <f>""</f>
        <v/>
      </c>
      <c r="CP253" t="str">
        <f>""</f>
        <v/>
      </c>
      <c r="CQ253" t="str">
        <f>""</f>
        <v/>
      </c>
      <c r="CR253" t="str">
        <f>""</f>
        <v/>
      </c>
      <c r="CS253" t="str">
        <f>""</f>
        <v/>
      </c>
      <c r="CT253" t="str">
        <f>""</f>
        <v/>
      </c>
      <c r="CU253" t="str">
        <f>""</f>
        <v/>
      </c>
      <c r="CV253" t="str">
        <f>""</f>
        <v/>
      </c>
      <c r="CW253" t="str">
        <f>""</f>
        <v/>
      </c>
      <c r="CX253" t="str">
        <f>""</f>
        <v/>
      </c>
      <c r="CY253" t="str">
        <f>""</f>
        <v/>
      </c>
      <c r="CZ253" t="str">
        <f>""</f>
        <v/>
      </c>
      <c r="DA253" t="str">
        <f>""</f>
        <v/>
      </c>
      <c r="DB253" t="str">
        <f>""</f>
        <v/>
      </c>
      <c r="DC253" t="str">
        <f>""</f>
        <v/>
      </c>
      <c r="DD253" t="str">
        <f>""</f>
        <v/>
      </c>
      <c r="DE253" t="str">
        <f>""</f>
        <v/>
      </c>
      <c r="DF253" t="str">
        <f>""</f>
        <v/>
      </c>
      <c r="DG253" t="str">
        <f>""</f>
        <v/>
      </c>
      <c r="DH253" t="str">
        <f>""</f>
        <v/>
      </c>
      <c r="DI253" t="str">
        <f>""</f>
        <v/>
      </c>
      <c r="DJ253" t="str">
        <f>""</f>
        <v/>
      </c>
      <c r="DK253" t="str">
        <f>""</f>
        <v/>
      </c>
      <c r="DL253" t="str">
        <f>""</f>
        <v/>
      </c>
      <c r="DM253" t="str">
        <f>""</f>
        <v/>
      </c>
      <c r="DN253" t="str">
        <f>""</f>
        <v/>
      </c>
      <c r="DO253" t="str">
        <f>""</f>
        <v/>
      </c>
      <c r="DP253" t="str">
        <f>""</f>
        <v/>
      </c>
      <c r="DQ253" t="str">
        <f>""</f>
        <v/>
      </c>
      <c r="DR253" t="str">
        <f>""</f>
        <v/>
      </c>
      <c r="DS253" t="str">
        <f>""</f>
        <v/>
      </c>
      <c r="DT253" t="str">
        <f>""</f>
        <v/>
      </c>
      <c r="DU253" t="str">
        <f>""</f>
        <v/>
      </c>
    </row>
    <row r="254" spans="1:125" x14ac:dyDescent="0.25">
      <c r="A254" t="str">
        <f>$A$117</f>
        <v xml:space="preserve">            First Citizens BancShares Inc/</v>
      </c>
      <c r="B254" t="str">
        <f>$B$117</f>
        <v>FCNCA US Equity</v>
      </c>
      <c r="C254" t="str">
        <f>$C$117</f>
        <v>FC001</v>
      </c>
      <c r="D254" t="str">
        <f>$D$117</f>
        <v>FDIC_TOTAL_ASSETS</v>
      </c>
      <c r="E254" t="str">
        <f>$E$117</f>
        <v>Dynamic</v>
      </c>
      <c r="F254">
        <f ca="1">_xll.BDH($B$117,$C$117,$B$143,$B$144,CONCATENATE("Per=",$B$141),"Dts=H","Dir=H",CONCATENATE("Points=",$B$142),"Sort=R","Days=A","Fill=B",CONCATENATE("FX=", $B$140),"cols=60;rows=1")</f>
        <v>223720</v>
      </c>
      <c r="G254">
        <v>220567</v>
      </c>
      <c r="H254">
        <v>219832</v>
      </c>
      <c r="I254">
        <v>217855</v>
      </c>
      <c r="J254">
        <v>213766.628</v>
      </c>
      <c r="K254">
        <v>213766.3</v>
      </c>
      <c r="L254">
        <v>209515.076</v>
      </c>
      <c r="M254">
        <v>214710.674</v>
      </c>
      <c r="N254">
        <v>109298.424</v>
      </c>
      <c r="O254">
        <v>109310.039</v>
      </c>
      <c r="P254">
        <v>107672.569</v>
      </c>
      <c r="Q254">
        <v>108596.694</v>
      </c>
      <c r="R254">
        <v>58308.14</v>
      </c>
      <c r="S254">
        <v>56901.976999999999</v>
      </c>
      <c r="T254">
        <v>55175.317999999999</v>
      </c>
      <c r="U254">
        <v>53908.606</v>
      </c>
      <c r="V254">
        <v>49957.68</v>
      </c>
      <c r="W254">
        <v>48666.873</v>
      </c>
      <c r="X254">
        <v>47866.194000000003</v>
      </c>
      <c r="Y254">
        <v>41594.453000000001</v>
      </c>
      <c r="Z254">
        <v>39824.495999999999</v>
      </c>
      <c r="AA254">
        <v>37748.324000000001</v>
      </c>
      <c r="AB254">
        <v>37655.093999999997</v>
      </c>
      <c r="AC254">
        <v>35961.67</v>
      </c>
      <c r="AD254">
        <v>35408.629000000001</v>
      </c>
      <c r="AE254">
        <v>34954.659</v>
      </c>
      <c r="AF254">
        <v>35088.565999999999</v>
      </c>
      <c r="AG254">
        <v>34436.436999999998</v>
      </c>
      <c r="AH254">
        <v>34527.512000000002</v>
      </c>
      <c r="AI254">
        <v>34584.154000000002</v>
      </c>
      <c r="AJ254">
        <v>34769.85</v>
      </c>
      <c r="AK254">
        <v>34018.404999999999</v>
      </c>
      <c r="AL254">
        <v>32990.836000000003</v>
      </c>
      <c r="AM254">
        <v>32971.910000000003</v>
      </c>
      <c r="AN254">
        <v>32230.402999999998</v>
      </c>
      <c r="AO254">
        <v>32195.656999999999</v>
      </c>
      <c r="AP254">
        <v>31475.934000000001</v>
      </c>
      <c r="AQ254">
        <v>31449.824000000001</v>
      </c>
      <c r="AR254">
        <v>30896.855</v>
      </c>
      <c r="AS254">
        <v>30853.649000000001</v>
      </c>
      <c r="AT254">
        <v>30075.113000000001</v>
      </c>
      <c r="AU254">
        <v>21942.491000000002</v>
      </c>
      <c r="AV254">
        <v>22062.84</v>
      </c>
      <c r="AW254">
        <v>22154.996999999999</v>
      </c>
      <c r="AX254">
        <v>21199.091</v>
      </c>
      <c r="AY254">
        <v>21511.351999999999</v>
      </c>
      <c r="AZ254">
        <v>21308.822</v>
      </c>
      <c r="BA254">
        <v>21351.011999999999</v>
      </c>
      <c r="BB254">
        <v>21283.651000000002</v>
      </c>
      <c r="BC254">
        <v>21173.618999999999</v>
      </c>
      <c r="BD254">
        <v>21240.99</v>
      </c>
      <c r="BE254">
        <v>21143.628000000001</v>
      </c>
      <c r="BF254">
        <v>20881.493999999999</v>
      </c>
      <c r="BG254">
        <v>21015.345000000001</v>
      </c>
      <c r="BH254">
        <v>21021.65</v>
      </c>
      <c r="BI254">
        <v>21167.494999999999</v>
      </c>
      <c r="BJ254">
        <v>20806.659</v>
      </c>
      <c r="BK254">
        <v>21049.291000000001</v>
      </c>
      <c r="BL254">
        <v>21105.769</v>
      </c>
      <c r="BM254">
        <v>21215.69</v>
      </c>
      <c r="BN254" t="str">
        <f>""</f>
        <v/>
      </c>
      <c r="BO254" t="str">
        <f>""</f>
        <v/>
      </c>
      <c r="BP254" t="str">
        <f>""</f>
        <v/>
      </c>
      <c r="BQ254" t="str">
        <f>""</f>
        <v/>
      </c>
      <c r="BR254" t="str">
        <f>""</f>
        <v/>
      </c>
      <c r="BS254" t="str">
        <f>""</f>
        <v/>
      </c>
      <c r="BT254" t="str">
        <f>""</f>
        <v/>
      </c>
      <c r="BU254" t="str">
        <f>""</f>
        <v/>
      </c>
      <c r="BV254" t="str">
        <f>""</f>
        <v/>
      </c>
      <c r="BW254" t="str">
        <f>""</f>
        <v/>
      </c>
      <c r="BX254" t="str">
        <f>""</f>
        <v/>
      </c>
      <c r="BY254" t="str">
        <f>""</f>
        <v/>
      </c>
      <c r="BZ254" t="str">
        <f>""</f>
        <v/>
      </c>
      <c r="CA254" t="str">
        <f>""</f>
        <v/>
      </c>
      <c r="CB254" t="str">
        <f>""</f>
        <v/>
      </c>
      <c r="CC254" t="str">
        <f>""</f>
        <v/>
      </c>
      <c r="CD254" t="str">
        <f>""</f>
        <v/>
      </c>
      <c r="CE254" t="str">
        <f>""</f>
        <v/>
      </c>
      <c r="CF254" t="str">
        <f>""</f>
        <v/>
      </c>
      <c r="CG254" t="str">
        <f>""</f>
        <v/>
      </c>
      <c r="CH254" t="str">
        <f>""</f>
        <v/>
      </c>
      <c r="CI254" t="str">
        <f>""</f>
        <v/>
      </c>
      <c r="CJ254" t="str">
        <f>""</f>
        <v/>
      </c>
      <c r="CK254" t="str">
        <f>""</f>
        <v/>
      </c>
      <c r="CL254" t="str">
        <f>""</f>
        <v/>
      </c>
      <c r="CM254" t="str">
        <f>""</f>
        <v/>
      </c>
      <c r="CN254" t="str">
        <f>""</f>
        <v/>
      </c>
      <c r="CO254" t="str">
        <f>""</f>
        <v/>
      </c>
      <c r="CP254" t="str">
        <f>""</f>
        <v/>
      </c>
      <c r="CQ254" t="str">
        <f>""</f>
        <v/>
      </c>
      <c r="CR254" t="str">
        <f>""</f>
        <v/>
      </c>
      <c r="CS254" t="str">
        <f>""</f>
        <v/>
      </c>
      <c r="CT254" t="str">
        <f>""</f>
        <v/>
      </c>
      <c r="CU254" t="str">
        <f>""</f>
        <v/>
      </c>
      <c r="CV254" t="str">
        <f>""</f>
        <v/>
      </c>
      <c r="CW254" t="str">
        <f>""</f>
        <v/>
      </c>
      <c r="CX254" t="str">
        <f>""</f>
        <v/>
      </c>
      <c r="CY254" t="str">
        <f>""</f>
        <v/>
      </c>
      <c r="CZ254" t="str">
        <f>""</f>
        <v/>
      </c>
      <c r="DA254" t="str">
        <f>""</f>
        <v/>
      </c>
      <c r="DB254" t="str">
        <f>""</f>
        <v/>
      </c>
      <c r="DC254" t="str">
        <f>""</f>
        <v/>
      </c>
      <c r="DD254" t="str">
        <f>""</f>
        <v/>
      </c>
      <c r="DE254" t="str">
        <f>""</f>
        <v/>
      </c>
      <c r="DF254" t="str">
        <f>""</f>
        <v/>
      </c>
      <c r="DG254" t="str">
        <f>""</f>
        <v/>
      </c>
      <c r="DH254" t="str">
        <f>""</f>
        <v/>
      </c>
      <c r="DI254" t="str">
        <f>""</f>
        <v/>
      </c>
      <c r="DJ254" t="str">
        <f>""</f>
        <v/>
      </c>
      <c r="DK254" t="str">
        <f>""</f>
        <v/>
      </c>
      <c r="DL254" t="str">
        <f>""</f>
        <v/>
      </c>
      <c r="DM254" t="str">
        <f>""</f>
        <v/>
      </c>
      <c r="DN254" t="str">
        <f>""</f>
        <v/>
      </c>
      <c r="DO254" t="str">
        <f>""</f>
        <v/>
      </c>
      <c r="DP254" t="str">
        <f>""</f>
        <v/>
      </c>
      <c r="DQ254" t="str">
        <f>""</f>
        <v/>
      </c>
      <c r="DR254" t="str">
        <f>""</f>
        <v/>
      </c>
      <c r="DS254" t="str">
        <f>""</f>
        <v/>
      </c>
      <c r="DT254" t="str">
        <f>""</f>
        <v/>
      </c>
      <c r="DU254" t="str">
        <f>""</f>
        <v/>
      </c>
    </row>
    <row r="255" spans="1:125" x14ac:dyDescent="0.25">
      <c r="A255" t="str">
        <f>$A$118</f>
        <v xml:space="preserve">            Flagstar Financial Inc</v>
      </c>
      <c r="B255" t="str">
        <f>$B$118</f>
        <v>FLG US Equity</v>
      </c>
      <c r="C255" t="str">
        <f>$C$118</f>
        <v>FC001</v>
      </c>
      <c r="D255" t="str">
        <f>$D$118</f>
        <v>FDIC_TOTAL_ASSETS</v>
      </c>
      <c r="E255" t="str">
        <f>$E$118</f>
        <v>Dynamic</v>
      </c>
      <c r="F255">
        <f ca="1">_xll.BDH($B$118,$C$118,$B$143,$B$144,CONCATENATE("Per=",$B$141),"Dts=H","Dir=H",CONCATENATE("Points=",$B$142),"Sort=R","Days=A","Fill=B",CONCATENATE("FX=", $B$140),"cols=60;rows=1")</f>
        <v>100160.12699999999</v>
      </c>
      <c r="G255">
        <v>114366.51</v>
      </c>
      <c r="H255">
        <v>119055.231</v>
      </c>
      <c r="I255">
        <v>112899.652</v>
      </c>
      <c r="J255">
        <v>114056.674</v>
      </c>
      <c r="K255">
        <v>111229.935</v>
      </c>
      <c r="L255">
        <v>118796.42600000001</v>
      </c>
      <c r="M255">
        <v>123706.375</v>
      </c>
      <c r="N255">
        <v>90144.301999999996</v>
      </c>
      <c r="O255">
        <v>62956.248</v>
      </c>
      <c r="P255">
        <v>63093.283000000003</v>
      </c>
      <c r="Q255">
        <v>61005.398000000001</v>
      </c>
      <c r="R255">
        <v>59527.144</v>
      </c>
      <c r="S255">
        <v>57890.106</v>
      </c>
      <c r="T255">
        <v>57468.934000000001</v>
      </c>
      <c r="U255">
        <v>57656.892</v>
      </c>
      <c r="V255">
        <v>56306.12</v>
      </c>
      <c r="W255">
        <v>54931.754999999997</v>
      </c>
      <c r="X255">
        <v>54210.415999999997</v>
      </c>
      <c r="Y255">
        <v>54261.093000000001</v>
      </c>
      <c r="Z255">
        <v>53640.821000000004</v>
      </c>
      <c r="AA255">
        <v>52537.629000000001</v>
      </c>
      <c r="AB255">
        <v>52776.254000000001</v>
      </c>
      <c r="AC255">
        <v>52131.044999999998</v>
      </c>
      <c r="AD255">
        <v>51899.375999999997</v>
      </c>
      <c r="AE255">
        <v>51246.654000000002</v>
      </c>
      <c r="AF255">
        <v>50469.17</v>
      </c>
      <c r="AG255">
        <v>49654.874000000003</v>
      </c>
      <c r="AH255">
        <v>49124.195</v>
      </c>
      <c r="AI255">
        <v>48457.891000000003</v>
      </c>
      <c r="AJ255">
        <v>48347.658000000003</v>
      </c>
      <c r="AK255">
        <v>48824.563999999998</v>
      </c>
      <c r="AL255">
        <v>48926.555</v>
      </c>
      <c r="AM255">
        <v>49462.62</v>
      </c>
      <c r="AN255">
        <v>49035.747000000003</v>
      </c>
      <c r="AO255">
        <v>48515.572</v>
      </c>
      <c r="AP255">
        <v>50317.796000000002</v>
      </c>
      <c r="AQ255">
        <v>49045.482000000004</v>
      </c>
      <c r="AR255">
        <v>48648.531999999999</v>
      </c>
      <c r="AS255">
        <v>48251.714999999997</v>
      </c>
      <c r="AT255">
        <v>48559.216999999997</v>
      </c>
      <c r="AU255">
        <v>48679.771999999997</v>
      </c>
      <c r="AV255">
        <v>48604.771999999997</v>
      </c>
      <c r="AW255">
        <v>47567.47</v>
      </c>
      <c r="AX255">
        <v>46688.286999999997</v>
      </c>
      <c r="AY255">
        <v>45764.133000000002</v>
      </c>
      <c r="AZ255">
        <v>44185.838000000003</v>
      </c>
      <c r="BA255">
        <v>44511.718000000001</v>
      </c>
      <c r="BB255">
        <v>44149.466</v>
      </c>
      <c r="BC255">
        <v>44075.366000000002</v>
      </c>
      <c r="BD255">
        <v>43501.093999999997</v>
      </c>
      <c r="BE255">
        <v>43042.45</v>
      </c>
      <c r="BF255">
        <v>42026.245000000003</v>
      </c>
      <c r="BG255">
        <v>41940.252999999997</v>
      </c>
      <c r="BH255">
        <v>40612.271000000001</v>
      </c>
      <c r="BI255">
        <v>41047.855000000003</v>
      </c>
      <c r="BJ255">
        <v>41160.281000000003</v>
      </c>
      <c r="BK255">
        <v>41719.226999999999</v>
      </c>
      <c r="BL255">
        <v>42026.690999999999</v>
      </c>
      <c r="BM255">
        <v>42446.03</v>
      </c>
      <c r="BN255" t="str">
        <f>""</f>
        <v/>
      </c>
      <c r="BO255" t="str">
        <f>""</f>
        <v/>
      </c>
      <c r="BP255" t="str">
        <f>""</f>
        <v/>
      </c>
      <c r="BQ255" t="str">
        <f>""</f>
        <v/>
      </c>
      <c r="BR255" t="str">
        <f>""</f>
        <v/>
      </c>
      <c r="BS255" t="str">
        <f>""</f>
        <v/>
      </c>
      <c r="BT255" t="str">
        <f>""</f>
        <v/>
      </c>
      <c r="BU255" t="str">
        <f>""</f>
        <v/>
      </c>
      <c r="BV255" t="str">
        <f>""</f>
        <v/>
      </c>
      <c r="BW255" t="str">
        <f>""</f>
        <v/>
      </c>
      <c r="BX255" t="str">
        <f>""</f>
        <v/>
      </c>
      <c r="BY255" t="str">
        <f>""</f>
        <v/>
      </c>
      <c r="BZ255" t="str">
        <f>""</f>
        <v/>
      </c>
      <c r="CA255" t="str">
        <f>""</f>
        <v/>
      </c>
      <c r="CB255" t="str">
        <f>""</f>
        <v/>
      </c>
      <c r="CC255" t="str">
        <f>""</f>
        <v/>
      </c>
      <c r="CD255" t="str">
        <f>""</f>
        <v/>
      </c>
      <c r="CE255" t="str">
        <f>""</f>
        <v/>
      </c>
      <c r="CF255" t="str">
        <f>""</f>
        <v/>
      </c>
      <c r="CG255" t="str">
        <f>""</f>
        <v/>
      </c>
      <c r="CH255" t="str">
        <f>""</f>
        <v/>
      </c>
      <c r="CI255" t="str">
        <f>""</f>
        <v/>
      </c>
      <c r="CJ255" t="str">
        <f>""</f>
        <v/>
      </c>
      <c r="CK255" t="str">
        <f>""</f>
        <v/>
      </c>
      <c r="CL255" t="str">
        <f>""</f>
        <v/>
      </c>
      <c r="CM255" t="str">
        <f>""</f>
        <v/>
      </c>
      <c r="CN255" t="str">
        <f>""</f>
        <v/>
      </c>
      <c r="CO255" t="str">
        <f>""</f>
        <v/>
      </c>
      <c r="CP255" t="str">
        <f>""</f>
        <v/>
      </c>
      <c r="CQ255" t="str">
        <f>""</f>
        <v/>
      </c>
      <c r="CR255" t="str">
        <f>""</f>
        <v/>
      </c>
      <c r="CS255" t="str">
        <f>""</f>
        <v/>
      </c>
      <c r="CT255" t="str">
        <f>""</f>
        <v/>
      </c>
      <c r="CU255" t="str">
        <f>""</f>
        <v/>
      </c>
      <c r="CV255" t="str">
        <f>""</f>
        <v/>
      </c>
      <c r="CW255" t="str">
        <f>""</f>
        <v/>
      </c>
      <c r="CX255" t="str">
        <f>""</f>
        <v/>
      </c>
      <c r="CY255" t="str">
        <f>""</f>
        <v/>
      </c>
      <c r="CZ255" t="str">
        <f>""</f>
        <v/>
      </c>
      <c r="DA255" t="str">
        <f>""</f>
        <v/>
      </c>
      <c r="DB255" t="str">
        <f>""</f>
        <v/>
      </c>
      <c r="DC255" t="str">
        <f>""</f>
        <v/>
      </c>
      <c r="DD255" t="str">
        <f>""</f>
        <v/>
      </c>
      <c r="DE255" t="str">
        <f>""</f>
        <v/>
      </c>
      <c r="DF255" t="str">
        <f>""</f>
        <v/>
      </c>
      <c r="DG255" t="str">
        <f>""</f>
        <v/>
      </c>
      <c r="DH255" t="str">
        <f>""</f>
        <v/>
      </c>
      <c r="DI255" t="str">
        <f>""</f>
        <v/>
      </c>
      <c r="DJ255" t="str">
        <f>""</f>
        <v/>
      </c>
      <c r="DK255" t="str">
        <f>""</f>
        <v/>
      </c>
      <c r="DL255" t="str">
        <f>""</f>
        <v/>
      </c>
      <c r="DM255" t="str">
        <f>""</f>
        <v/>
      </c>
      <c r="DN255" t="str">
        <f>""</f>
        <v/>
      </c>
      <c r="DO255" t="str">
        <f>""</f>
        <v/>
      </c>
      <c r="DP255" t="str">
        <f>""</f>
        <v/>
      </c>
      <c r="DQ255" t="str">
        <f>""</f>
        <v/>
      </c>
      <c r="DR255" t="str">
        <f>""</f>
        <v/>
      </c>
      <c r="DS255" t="str">
        <f>""</f>
        <v/>
      </c>
      <c r="DT255" t="str">
        <f>""</f>
        <v/>
      </c>
      <c r="DU255" t="str">
        <f>""</f>
        <v/>
      </c>
    </row>
    <row r="256" spans="1:125" x14ac:dyDescent="0.25">
      <c r="A256" t="str">
        <f>$A$119</f>
        <v xml:space="preserve">            Huntington Bancshares Inc/OH</v>
      </c>
      <c r="B256" t="str">
        <f>$B$119</f>
        <v>HBAN US Equity</v>
      </c>
      <c r="C256" t="str">
        <f>$C$119</f>
        <v>FC001</v>
      </c>
      <c r="D256" t="str">
        <f>$D$119</f>
        <v>FDIC_TOTAL_ASSETS</v>
      </c>
      <c r="E256" t="str">
        <f>$E$119</f>
        <v>Dynamic</v>
      </c>
      <c r="F256">
        <f ca="1">_xll.BDH($B$119,$C$119,$B$143,$B$144,CONCATENATE("Per=",$B$141),"Dts=H","Dir=H",CONCATENATE("Points=",$B$142),"Sort=R","Days=A","Fill=B",CONCATENATE("FX=", $B$140),"cols=60;rows=1")</f>
        <v>204230.28400000001</v>
      </c>
      <c r="G256">
        <v>200535.359</v>
      </c>
      <c r="H256">
        <v>196310.177</v>
      </c>
      <c r="I256">
        <v>193518.785</v>
      </c>
      <c r="J256">
        <v>189368.21599999999</v>
      </c>
      <c r="K256">
        <v>186649.799</v>
      </c>
      <c r="L256">
        <v>188504.62599999999</v>
      </c>
      <c r="M256">
        <v>189070.31200000001</v>
      </c>
      <c r="N256">
        <v>182906.272</v>
      </c>
      <c r="O256">
        <v>179402.155</v>
      </c>
      <c r="P256">
        <v>178782.402</v>
      </c>
      <c r="Q256">
        <v>176855.51800000001</v>
      </c>
      <c r="R256">
        <v>174064.22899999999</v>
      </c>
      <c r="S256">
        <v>173878.18400000001</v>
      </c>
      <c r="T256">
        <v>175172.057</v>
      </c>
      <c r="U256">
        <v>125767.69500000001</v>
      </c>
      <c r="V256">
        <v>123037.648</v>
      </c>
      <c r="W256">
        <v>120116.07399999999</v>
      </c>
      <c r="X256">
        <v>118424.50599999999</v>
      </c>
      <c r="Y256">
        <v>113897.24800000001</v>
      </c>
      <c r="Z256">
        <v>109001.821</v>
      </c>
      <c r="AA256">
        <v>108735.23299999999</v>
      </c>
      <c r="AB256">
        <v>108247.19899999999</v>
      </c>
      <c r="AC256">
        <v>108203.287</v>
      </c>
      <c r="AD256">
        <v>108781.444</v>
      </c>
      <c r="AE256">
        <v>105652.344</v>
      </c>
      <c r="AF256">
        <v>105358.398</v>
      </c>
      <c r="AG256">
        <v>104246.66800000001</v>
      </c>
      <c r="AH256">
        <v>104184.505</v>
      </c>
      <c r="AI256">
        <v>101988.125</v>
      </c>
      <c r="AJ256">
        <v>101406.77899999999</v>
      </c>
      <c r="AK256">
        <v>100045.50599999999</v>
      </c>
      <c r="AL256">
        <v>99714.096999999994</v>
      </c>
      <c r="AM256">
        <v>100765.412</v>
      </c>
      <c r="AN256">
        <v>73954.016000000003</v>
      </c>
      <c r="AO256">
        <v>72644.967000000004</v>
      </c>
      <c r="AP256">
        <v>71044.551000000007</v>
      </c>
      <c r="AQ256">
        <v>70210.178</v>
      </c>
      <c r="AR256">
        <v>68845.648000000001</v>
      </c>
      <c r="AS256">
        <v>68002.660999999993</v>
      </c>
      <c r="AT256">
        <v>66298.009999999995</v>
      </c>
      <c r="AU256">
        <v>64330.629000000001</v>
      </c>
      <c r="AV256">
        <v>63797.112999999998</v>
      </c>
      <c r="AW256">
        <v>61145.752999999997</v>
      </c>
      <c r="AX256">
        <v>59476.343999999997</v>
      </c>
      <c r="AY256">
        <v>56648.250999999997</v>
      </c>
      <c r="AZ256">
        <v>56113.686999999998</v>
      </c>
      <c r="BA256">
        <v>56054.966</v>
      </c>
      <c r="BB256">
        <v>56153.184999999998</v>
      </c>
      <c r="BC256">
        <v>56443</v>
      </c>
      <c r="BD256">
        <v>56622.959000000003</v>
      </c>
      <c r="BE256">
        <v>55876.654000000002</v>
      </c>
      <c r="BF256">
        <v>54450.652000000002</v>
      </c>
      <c r="BG256">
        <v>54978.707000000002</v>
      </c>
      <c r="BH256">
        <v>53050.038999999997</v>
      </c>
      <c r="BI256">
        <v>52948.51</v>
      </c>
      <c r="BJ256">
        <v>53801.953999999998</v>
      </c>
      <c r="BK256">
        <v>53247.307999999997</v>
      </c>
      <c r="BL256">
        <v>51771.442999999999</v>
      </c>
      <c r="BM256">
        <v>51866.803999999996</v>
      </c>
      <c r="BN256" t="str">
        <f>""</f>
        <v/>
      </c>
      <c r="BO256" t="str">
        <f>""</f>
        <v/>
      </c>
      <c r="BP256" t="str">
        <f>""</f>
        <v/>
      </c>
      <c r="BQ256" t="str">
        <f>""</f>
        <v/>
      </c>
      <c r="BR256" t="str">
        <f>""</f>
        <v/>
      </c>
      <c r="BS256" t="str">
        <f>""</f>
        <v/>
      </c>
      <c r="BT256" t="str">
        <f>""</f>
        <v/>
      </c>
      <c r="BU256" t="str">
        <f>""</f>
        <v/>
      </c>
      <c r="BV256" t="str">
        <f>""</f>
        <v/>
      </c>
      <c r="BW256" t="str">
        <f>""</f>
        <v/>
      </c>
      <c r="BX256" t="str">
        <f>""</f>
        <v/>
      </c>
      <c r="BY256" t="str">
        <f>""</f>
        <v/>
      </c>
      <c r="BZ256" t="str">
        <f>""</f>
        <v/>
      </c>
      <c r="CA256" t="str">
        <f>""</f>
        <v/>
      </c>
      <c r="CB256" t="str">
        <f>""</f>
        <v/>
      </c>
      <c r="CC256" t="str">
        <f>""</f>
        <v/>
      </c>
      <c r="CD256" t="str">
        <f>""</f>
        <v/>
      </c>
      <c r="CE256" t="str">
        <f>""</f>
        <v/>
      </c>
      <c r="CF256" t="str">
        <f>""</f>
        <v/>
      </c>
      <c r="CG256" t="str">
        <f>""</f>
        <v/>
      </c>
      <c r="CH256" t="str">
        <f>""</f>
        <v/>
      </c>
      <c r="CI256" t="str">
        <f>""</f>
        <v/>
      </c>
      <c r="CJ256" t="str">
        <f>""</f>
        <v/>
      </c>
      <c r="CK256" t="str">
        <f>""</f>
        <v/>
      </c>
      <c r="CL256" t="str">
        <f>""</f>
        <v/>
      </c>
      <c r="CM256" t="str">
        <f>""</f>
        <v/>
      </c>
      <c r="CN256" t="str">
        <f>""</f>
        <v/>
      </c>
      <c r="CO256" t="str">
        <f>""</f>
        <v/>
      </c>
      <c r="CP256" t="str">
        <f>""</f>
        <v/>
      </c>
      <c r="CQ256" t="str">
        <f>""</f>
        <v/>
      </c>
      <c r="CR256" t="str">
        <f>""</f>
        <v/>
      </c>
      <c r="CS256" t="str">
        <f>""</f>
        <v/>
      </c>
      <c r="CT256" t="str">
        <f>""</f>
        <v/>
      </c>
      <c r="CU256" t="str">
        <f>""</f>
        <v/>
      </c>
      <c r="CV256" t="str">
        <f>""</f>
        <v/>
      </c>
      <c r="CW256" t="str">
        <f>""</f>
        <v/>
      </c>
      <c r="CX256" t="str">
        <f>""</f>
        <v/>
      </c>
      <c r="CY256" t="str">
        <f>""</f>
        <v/>
      </c>
      <c r="CZ256" t="str">
        <f>""</f>
        <v/>
      </c>
      <c r="DA256" t="str">
        <f>""</f>
        <v/>
      </c>
      <c r="DB256" t="str">
        <f>""</f>
        <v/>
      </c>
      <c r="DC256" t="str">
        <f>""</f>
        <v/>
      </c>
      <c r="DD256" t="str">
        <f>""</f>
        <v/>
      </c>
      <c r="DE256" t="str">
        <f>""</f>
        <v/>
      </c>
      <c r="DF256" t="str">
        <f>""</f>
        <v/>
      </c>
      <c r="DG256" t="str">
        <f>""</f>
        <v/>
      </c>
      <c r="DH256" t="str">
        <f>""</f>
        <v/>
      </c>
      <c r="DI256" t="str">
        <f>""</f>
        <v/>
      </c>
      <c r="DJ256" t="str">
        <f>""</f>
        <v/>
      </c>
      <c r="DK256" t="str">
        <f>""</f>
        <v/>
      </c>
      <c r="DL256" t="str">
        <f>""</f>
        <v/>
      </c>
      <c r="DM256" t="str">
        <f>""</f>
        <v/>
      </c>
      <c r="DN256" t="str">
        <f>""</f>
        <v/>
      </c>
      <c r="DO256" t="str">
        <f>""</f>
        <v/>
      </c>
      <c r="DP256" t="str">
        <f>""</f>
        <v/>
      </c>
      <c r="DQ256" t="str">
        <f>""</f>
        <v/>
      </c>
      <c r="DR256" t="str">
        <f>""</f>
        <v/>
      </c>
      <c r="DS256" t="str">
        <f>""</f>
        <v/>
      </c>
      <c r="DT256" t="str">
        <f>""</f>
        <v/>
      </c>
      <c r="DU256" t="str">
        <f>""</f>
        <v/>
      </c>
    </row>
    <row r="257" spans="1:125" x14ac:dyDescent="0.25">
      <c r="A257" t="str">
        <f>$A$120</f>
        <v xml:space="preserve">            JPMorgan Chase &amp; Co</v>
      </c>
      <c r="B257" t="str">
        <f>$B$120</f>
        <v>JPM US Equity</v>
      </c>
      <c r="C257" t="str">
        <f>$C$120</f>
        <v>FC001</v>
      </c>
      <c r="D257" t="str">
        <f>$D$120</f>
        <v>FDIC_TOTAL_ASSETS</v>
      </c>
      <c r="E257" t="str">
        <f>$E$120</f>
        <v>Dynamic</v>
      </c>
      <c r="F257">
        <f ca="1">_xll.BDH($B$120,$C$120,$B$143,$B$144,CONCATENATE("Per=",$B$141),"Dts=H","Dir=H",CONCATENATE("Points=",$B$142),"Sort=R","Days=A","Fill=B",CONCATENATE("FX=", $B$140),"cols=60;rows=1")</f>
        <v>4002814</v>
      </c>
      <c r="G257">
        <v>4210048</v>
      </c>
      <c r="H257">
        <v>4143003</v>
      </c>
      <c r="I257">
        <v>4090727</v>
      </c>
      <c r="J257">
        <v>3875393</v>
      </c>
      <c r="K257">
        <v>3898333</v>
      </c>
      <c r="L257">
        <v>3868240</v>
      </c>
      <c r="M257">
        <v>3744305</v>
      </c>
      <c r="N257">
        <v>3665743</v>
      </c>
      <c r="O257">
        <v>3773884</v>
      </c>
      <c r="P257">
        <v>3841314</v>
      </c>
      <c r="Q257">
        <v>3954687</v>
      </c>
      <c r="R257">
        <v>3743567</v>
      </c>
      <c r="S257">
        <v>3757576</v>
      </c>
      <c r="T257">
        <v>3684256</v>
      </c>
      <c r="U257">
        <v>3689336</v>
      </c>
      <c r="V257">
        <v>3386071</v>
      </c>
      <c r="W257">
        <v>3246923</v>
      </c>
      <c r="X257">
        <v>3214218</v>
      </c>
      <c r="Y257">
        <v>3140887</v>
      </c>
      <c r="Z257">
        <v>2687379</v>
      </c>
      <c r="AA257">
        <v>2764661</v>
      </c>
      <c r="AB257">
        <v>2727379</v>
      </c>
      <c r="AC257">
        <v>2737188</v>
      </c>
      <c r="AD257">
        <v>2622532</v>
      </c>
      <c r="AE257">
        <v>2615183</v>
      </c>
      <c r="AF257">
        <v>2590050</v>
      </c>
      <c r="AG257">
        <v>2609785</v>
      </c>
      <c r="AH257">
        <v>2533600</v>
      </c>
      <c r="AI257">
        <v>2563074</v>
      </c>
      <c r="AJ257">
        <v>2563174</v>
      </c>
      <c r="AK257">
        <v>2546290</v>
      </c>
      <c r="AL257">
        <v>2490972</v>
      </c>
      <c r="AM257">
        <v>2521029</v>
      </c>
      <c r="AN257">
        <v>2466096</v>
      </c>
      <c r="AO257">
        <v>2423808</v>
      </c>
      <c r="AP257">
        <v>2351698</v>
      </c>
      <c r="AQ257">
        <v>2417121</v>
      </c>
      <c r="AR257">
        <v>2447994</v>
      </c>
      <c r="AS257">
        <v>2577148</v>
      </c>
      <c r="AT257">
        <v>2572773</v>
      </c>
      <c r="AU257">
        <v>2527005</v>
      </c>
      <c r="AV257">
        <v>2520336</v>
      </c>
      <c r="AW257">
        <v>2476986</v>
      </c>
      <c r="AX257">
        <v>2415689</v>
      </c>
      <c r="AY257">
        <v>2463309</v>
      </c>
      <c r="AZ257">
        <v>2439494</v>
      </c>
      <c r="BA257">
        <v>2389349</v>
      </c>
      <c r="BB257">
        <v>2359141</v>
      </c>
      <c r="BC257">
        <v>2321284</v>
      </c>
      <c r="BD257">
        <v>2290146</v>
      </c>
      <c r="BE257">
        <v>2320164</v>
      </c>
      <c r="BF257">
        <v>2265792</v>
      </c>
      <c r="BG257">
        <v>2289240</v>
      </c>
      <c r="BH257">
        <v>2246764</v>
      </c>
      <c r="BI257">
        <v>2198161</v>
      </c>
      <c r="BJ257">
        <v>2117605</v>
      </c>
      <c r="BK257">
        <v>2141595</v>
      </c>
      <c r="BL257">
        <v>2014019</v>
      </c>
      <c r="BM257">
        <v>2135796</v>
      </c>
      <c r="BN257" t="str">
        <f>""</f>
        <v/>
      </c>
      <c r="BO257" t="str">
        <f>""</f>
        <v/>
      </c>
      <c r="BP257" t="str">
        <f>""</f>
        <v/>
      </c>
      <c r="BQ257" t="str">
        <f>""</f>
        <v/>
      </c>
      <c r="BR257" t="str">
        <f>""</f>
        <v/>
      </c>
      <c r="BS257" t="str">
        <f>""</f>
        <v/>
      </c>
      <c r="BT257" t="str">
        <f>""</f>
        <v/>
      </c>
      <c r="BU257" t="str">
        <f>""</f>
        <v/>
      </c>
      <c r="BV257" t="str">
        <f>""</f>
        <v/>
      </c>
      <c r="BW257" t="str">
        <f>""</f>
        <v/>
      </c>
      <c r="BX257" t="str">
        <f>""</f>
        <v/>
      </c>
      <c r="BY257" t="str">
        <f>""</f>
        <v/>
      </c>
      <c r="BZ257" t="str">
        <f>""</f>
        <v/>
      </c>
      <c r="CA257" t="str">
        <f>""</f>
        <v/>
      </c>
      <c r="CB257" t="str">
        <f>""</f>
        <v/>
      </c>
      <c r="CC257" t="str">
        <f>""</f>
        <v/>
      </c>
      <c r="CD257" t="str">
        <f>""</f>
        <v/>
      </c>
      <c r="CE257" t="str">
        <f>""</f>
        <v/>
      </c>
      <c r="CF257" t="str">
        <f>""</f>
        <v/>
      </c>
      <c r="CG257" t="str">
        <f>""</f>
        <v/>
      </c>
      <c r="CH257" t="str">
        <f>""</f>
        <v/>
      </c>
      <c r="CI257" t="str">
        <f>""</f>
        <v/>
      </c>
      <c r="CJ257" t="str">
        <f>""</f>
        <v/>
      </c>
      <c r="CK257" t="str">
        <f>""</f>
        <v/>
      </c>
      <c r="CL257" t="str">
        <f>""</f>
        <v/>
      </c>
      <c r="CM257" t="str">
        <f>""</f>
        <v/>
      </c>
      <c r="CN257" t="str">
        <f>""</f>
        <v/>
      </c>
      <c r="CO257" t="str">
        <f>""</f>
        <v/>
      </c>
      <c r="CP257" t="str">
        <f>""</f>
        <v/>
      </c>
      <c r="CQ257" t="str">
        <f>""</f>
        <v/>
      </c>
      <c r="CR257" t="str">
        <f>""</f>
        <v/>
      </c>
      <c r="CS257" t="str">
        <f>""</f>
        <v/>
      </c>
      <c r="CT257" t="str">
        <f>""</f>
        <v/>
      </c>
      <c r="CU257" t="str">
        <f>""</f>
        <v/>
      </c>
      <c r="CV257" t="str">
        <f>""</f>
        <v/>
      </c>
      <c r="CW257" t="str">
        <f>""</f>
        <v/>
      </c>
      <c r="CX257" t="str">
        <f>""</f>
        <v/>
      </c>
      <c r="CY257" t="str">
        <f>""</f>
        <v/>
      </c>
      <c r="CZ257" t="str">
        <f>""</f>
        <v/>
      </c>
      <c r="DA257" t="str">
        <f>""</f>
        <v/>
      </c>
      <c r="DB257" t="str">
        <f>""</f>
        <v/>
      </c>
      <c r="DC257" t="str">
        <f>""</f>
        <v/>
      </c>
      <c r="DD257" t="str">
        <f>""</f>
        <v/>
      </c>
      <c r="DE257" t="str">
        <f>""</f>
        <v/>
      </c>
      <c r="DF257" t="str">
        <f>""</f>
        <v/>
      </c>
      <c r="DG257" t="str">
        <f>""</f>
        <v/>
      </c>
      <c r="DH257" t="str">
        <f>""</f>
        <v/>
      </c>
      <c r="DI257" t="str">
        <f>""</f>
        <v/>
      </c>
      <c r="DJ257" t="str">
        <f>""</f>
        <v/>
      </c>
      <c r="DK257" t="str">
        <f>""</f>
        <v/>
      </c>
      <c r="DL257" t="str">
        <f>""</f>
        <v/>
      </c>
      <c r="DM257" t="str">
        <f>""</f>
        <v/>
      </c>
      <c r="DN257" t="str">
        <f>""</f>
        <v/>
      </c>
      <c r="DO257" t="str">
        <f>""</f>
        <v/>
      </c>
      <c r="DP257" t="str">
        <f>""</f>
        <v/>
      </c>
      <c r="DQ257" t="str">
        <f>""</f>
        <v/>
      </c>
      <c r="DR257" t="str">
        <f>""</f>
        <v/>
      </c>
      <c r="DS257" t="str">
        <f>""</f>
        <v/>
      </c>
      <c r="DT257" t="str">
        <f>""</f>
        <v/>
      </c>
      <c r="DU257" t="str">
        <f>""</f>
        <v/>
      </c>
    </row>
    <row r="258" spans="1:125" x14ac:dyDescent="0.25">
      <c r="A258" t="str">
        <f>$A$121</f>
        <v xml:space="preserve">            KeyCorp</v>
      </c>
      <c r="B258" t="str">
        <f>$B$121</f>
        <v>KEY US Equity</v>
      </c>
      <c r="C258" t="str">
        <f>$C$121</f>
        <v>FC001</v>
      </c>
      <c r="D258" t="str">
        <f>$D$121</f>
        <v>FDIC_TOTAL_ASSETS</v>
      </c>
      <c r="E258" t="str">
        <f>$E$121</f>
        <v>Dynamic</v>
      </c>
      <c r="F258">
        <f ca="1">_xll.BDH($B$121,$C$121,$B$143,$B$144,CONCATENATE("Per=",$B$141),"Dts=H","Dir=H",CONCATENATE("Points=",$B$142),"Sort=R","Days=A","Fill=B",CONCATENATE("FX=", $B$140),"cols=60;rows=1")</f>
        <v>187184.01</v>
      </c>
      <c r="G258">
        <v>189766.10699999999</v>
      </c>
      <c r="H258">
        <v>187474.66200000001</v>
      </c>
      <c r="I258">
        <v>187530.70499999999</v>
      </c>
      <c r="J258">
        <v>188368.90400000001</v>
      </c>
      <c r="K258">
        <v>187994.715</v>
      </c>
      <c r="L258">
        <v>195213.56299999999</v>
      </c>
      <c r="M258">
        <v>197621.76300000001</v>
      </c>
      <c r="N258">
        <v>189915.51500000001</v>
      </c>
      <c r="O258">
        <v>190232.45</v>
      </c>
      <c r="P258">
        <v>187227.649</v>
      </c>
      <c r="Q258">
        <v>181472.726</v>
      </c>
      <c r="R258">
        <v>186455.921</v>
      </c>
      <c r="S258">
        <v>187198.23699999999</v>
      </c>
      <c r="T258">
        <v>181526.85200000001</v>
      </c>
      <c r="U258">
        <v>176336.182</v>
      </c>
      <c r="V258">
        <v>171371.23</v>
      </c>
      <c r="W258">
        <v>171342.43400000001</v>
      </c>
      <c r="X258">
        <v>172038.74799999999</v>
      </c>
      <c r="Y258">
        <v>157003.46599999999</v>
      </c>
      <c r="Z258">
        <v>145569.63200000001</v>
      </c>
      <c r="AA258">
        <v>147321.05900000001</v>
      </c>
      <c r="AB258">
        <v>145121.356</v>
      </c>
      <c r="AC258">
        <v>141953.655</v>
      </c>
      <c r="AD258">
        <v>140037.79</v>
      </c>
      <c r="AE258">
        <v>139184.992</v>
      </c>
      <c r="AF258">
        <v>138164.802</v>
      </c>
      <c r="AG258">
        <v>137485.73199999999</v>
      </c>
      <c r="AH258">
        <v>138064.05499999999</v>
      </c>
      <c r="AI258">
        <v>137129.91200000001</v>
      </c>
      <c r="AJ258">
        <v>136362.22399999999</v>
      </c>
      <c r="AK258">
        <v>134972.587</v>
      </c>
      <c r="AL258">
        <v>136825.848</v>
      </c>
      <c r="AM258">
        <v>136228.389</v>
      </c>
      <c r="AN258">
        <v>101406.977</v>
      </c>
      <c r="AO258">
        <v>98570.702000000005</v>
      </c>
      <c r="AP258">
        <v>95270.648000000001</v>
      </c>
      <c r="AQ258">
        <v>95476.858999999997</v>
      </c>
      <c r="AR258">
        <v>94674.55</v>
      </c>
      <c r="AS258">
        <v>94296.497000000003</v>
      </c>
      <c r="AT258">
        <v>93882.115000000005</v>
      </c>
      <c r="AU258">
        <v>89884.476999999999</v>
      </c>
      <c r="AV258">
        <v>91934.784</v>
      </c>
      <c r="AW258">
        <v>90928.217999999993</v>
      </c>
      <c r="AX258">
        <v>92991.716</v>
      </c>
      <c r="AY258">
        <v>91016.413</v>
      </c>
      <c r="AZ258">
        <v>90858.778999999995</v>
      </c>
      <c r="BA258">
        <v>89441.21</v>
      </c>
      <c r="BB258">
        <v>89425.612999999998</v>
      </c>
      <c r="BC258">
        <v>87302.271999999997</v>
      </c>
      <c r="BD258">
        <v>86741.423999999999</v>
      </c>
      <c r="BE258">
        <v>87569.856</v>
      </c>
      <c r="BF258">
        <v>88762.570999999996</v>
      </c>
      <c r="BG258">
        <v>89405.604999999996</v>
      </c>
      <c r="BH258">
        <v>88858.6</v>
      </c>
      <c r="BI258">
        <v>90311.402000000002</v>
      </c>
      <c r="BJ258">
        <v>91718.216</v>
      </c>
      <c r="BK258">
        <v>94073.953999999998</v>
      </c>
      <c r="BL258">
        <v>94286.770999999993</v>
      </c>
      <c r="BM258">
        <v>95260.403999999995</v>
      </c>
      <c r="BN258" t="str">
        <f>""</f>
        <v/>
      </c>
      <c r="BO258" t="str">
        <f>""</f>
        <v/>
      </c>
      <c r="BP258" t="str">
        <f>""</f>
        <v/>
      </c>
      <c r="BQ258" t="str">
        <f>""</f>
        <v/>
      </c>
      <c r="BR258" t="str">
        <f>""</f>
        <v/>
      </c>
      <c r="BS258" t="str">
        <f>""</f>
        <v/>
      </c>
      <c r="BT258" t="str">
        <f>""</f>
        <v/>
      </c>
      <c r="BU258" t="str">
        <f>""</f>
        <v/>
      </c>
      <c r="BV258" t="str">
        <f>""</f>
        <v/>
      </c>
      <c r="BW258" t="str">
        <f>""</f>
        <v/>
      </c>
      <c r="BX258" t="str">
        <f>""</f>
        <v/>
      </c>
      <c r="BY258" t="str">
        <f>""</f>
        <v/>
      </c>
      <c r="BZ258" t="str">
        <f>""</f>
        <v/>
      </c>
      <c r="CA258" t="str">
        <f>""</f>
        <v/>
      </c>
      <c r="CB258" t="str">
        <f>""</f>
        <v/>
      </c>
      <c r="CC258" t="str">
        <f>""</f>
        <v/>
      </c>
      <c r="CD258" t="str">
        <f>""</f>
        <v/>
      </c>
      <c r="CE258" t="str">
        <f>""</f>
        <v/>
      </c>
      <c r="CF258" t="str">
        <f>""</f>
        <v/>
      </c>
      <c r="CG258" t="str">
        <f>""</f>
        <v/>
      </c>
      <c r="CH258" t="str">
        <f>""</f>
        <v/>
      </c>
      <c r="CI258" t="str">
        <f>""</f>
        <v/>
      </c>
      <c r="CJ258" t="str">
        <f>""</f>
        <v/>
      </c>
      <c r="CK258" t="str">
        <f>""</f>
        <v/>
      </c>
      <c r="CL258" t="str">
        <f>""</f>
        <v/>
      </c>
      <c r="CM258" t="str">
        <f>""</f>
        <v/>
      </c>
      <c r="CN258" t="str">
        <f>""</f>
        <v/>
      </c>
      <c r="CO258" t="str">
        <f>""</f>
        <v/>
      </c>
      <c r="CP258" t="str">
        <f>""</f>
        <v/>
      </c>
      <c r="CQ258" t="str">
        <f>""</f>
        <v/>
      </c>
      <c r="CR258" t="str">
        <f>""</f>
        <v/>
      </c>
      <c r="CS258" t="str">
        <f>""</f>
        <v/>
      </c>
      <c r="CT258" t="str">
        <f>""</f>
        <v/>
      </c>
      <c r="CU258" t="str">
        <f>""</f>
        <v/>
      </c>
      <c r="CV258" t="str">
        <f>""</f>
        <v/>
      </c>
      <c r="CW258" t="str">
        <f>""</f>
        <v/>
      </c>
      <c r="CX258" t="str">
        <f>""</f>
        <v/>
      </c>
      <c r="CY258" t="str">
        <f>""</f>
        <v/>
      </c>
      <c r="CZ258" t="str">
        <f>""</f>
        <v/>
      </c>
      <c r="DA258" t="str">
        <f>""</f>
        <v/>
      </c>
      <c r="DB258" t="str">
        <f>""</f>
        <v/>
      </c>
      <c r="DC258" t="str">
        <f>""</f>
        <v/>
      </c>
      <c r="DD258" t="str">
        <f>""</f>
        <v/>
      </c>
      <c r="DE258" t="str">
        <f>""</f>
        <v/>
      </c>
      <c r="DF258" t="str">
        <f>""</f>
        <v/>
      </c>
      <c r="DG258" t="str">
        <f>""</f>
        <v/>
      </c>
      <c r="DH258" t="str">
        <f>""</f>
        <v/>
      </c>
      <c r="DI258" t="str">
        <f>""</f>
        <v/>
      </c>
      <c r="DJ258" t="str">
        <f>""</f>
        <v/>
      </c>
      <c r="DK258" t="str">
        <f>""</f>
        <v/>
      </c>
      <c r="DL258" t="str">
        <f>""</f>
        <v/>
      </c>
      <c r="DM258" t="str">
        <f>""</f>
        <v/>
      </c>
      <c r="DN258" t="str">
        <f>""</f>
        <v/>
      </c>
      <c r="DO258" t="str">
        <f>""</f>
        <v/>
      </c>
      <c r="DP258" t="str">
        <f>""</f>
        <v/>
      </c>
      <c r="DQ258" t="str">
        <f>""</f>
        <v/>
      </c>
      <c r="DR258" t="str">
        <f>""</f>
        <v/>
      </c>
      <c r="DS258" t="str">
        <f>""</f>
        <v/>
      </c>
      <c r="DT258" t="str">
        <f>""</f>
        <v/>
      </c>
      <c r="DU258" t="str">
        <f>""</f>
        <v/>
      </c>
    </row>
    <row r="259" spans="1:125" x14ac:dyDescent="0.25">
      <c r="A259" t="str">
        <f>$A$122</f>
        <v xml:space="preserve">            M&amp;T Bank Corp</v>
      </c>
      <c r="B259" t="str">
        <f>$B$122</f>
        <v>MTB US Equity</v>
      </c>
      <c r="C259" t="str">
        <f>$C$122</f>
        <v>FC001</v>
      </c>
      <c r="D259" t="str">
        <f>$D$122</f>
        <v>FDIC_TOTAL_ASSETS</v>
      </c>
      <c r="E259" t="str">
        <f>$E$122</f>
        <v>Dynamic</v>
      </c>
      <c r="F259">
        <f ca="1">_xll.BDH($B$122,$C$122,$B$143,$B$144,CONCATENATE("Per=",$B$141),"Dts=H","Dir=H",CONCATENATE("Points=",$B$142),"Sort=R","Days=A","Fill=B",CONCATENATE("FX=", $B$140),"cols=60;rows=1")</f>
        <v>208104.916</v>
      </c>
      <c r="G259">
        <v>211784.99400000001</v>
      </c>
      <c r="H259">
        <v>208854.50099999999</v>
      </c>
      <c r="I259">
        <v>215136.712</v>
      </c>
      <c r="J259">
        <v>208263.598</v>
      </c>
      <c r="K259">
        <v>209124.31599999999</v>
      </c>
      <c r="L259">
        <v>207671.72899999999</v>
      </c>
      <c r="M259">
        <v>202956.40700000001</v>
      </c>
      <c r="N259">
        <v>200729.84099999999</v>
      </c>
      <c r="O259">
        <v>197955.47899999999</v>
      </c>
      <c r="P259">
        <v>204032.889</v>
      </c>
      <c r="Q259">
        <v>149825.90700000001</v>
      </c>
      <c r="R259">
        <v>155072.103</v>
      </c>
      <c r="S259">
        <v>151866.23800000001</v>
      </c>
      <c r="T259">
        <v>150589.66800000001</v>
      </c>
      <c r="U259">
        <v>150481.06</v>
      </c>
      <c r="V259">
        <v>142601.10500000001</v>
      </c>
      <c r="W259">
        <v>138626.74299999999</v>
      </c>
      <c r="X259">
        <v>139536.96900000001</v>
      </c>
      <c r="Y259">
        <v>124577.833</v>
      </c>
      <c r="Z259">
        <v>119872.757</v>
      </c>
      <c r="AA259">
        <v>125500.92600000001</v>
      </c>
      <c r="AB259">
        <v>121554.895</v>
      </c>
      <c r="AC259">
        <v>120025.205</v>
      </c>
      <c r="AD259">
        <v>120097.40300000001</v>
      </c>
      <c r="AE259">
        <v>116827.637</v>
      </c>
      <c r="AF259">
        <v>118426.053</v>
      </c>
      <c r="AG259">
        <v>118622.82399999999</v>
      </c>
      <c r="AH259">
        <v>118593.48699999999</v>
      </c>
      <c r="AI259">
        <v>120401.804</v>
      </c>
      <c r="AJ259">
        <v>120896.567</v>
      </c>
      <c r="AK259">
        <v>123223.251</v>
      </c>
      <c r="AL259">
        <v>123449.20600000001</v>
      </c>
      <c r="AM259">
        <v>126841.02800000001</v>
      </c>
      <c r="AN259">
        <v>123820.584</v>
      </c>
      <c r="AO259">
        <v>124625.632</v>
      </c>
      <c r="AP259">
        <v>122787.88400000001</v>
      </c>
      <c r="AQ259">
        <v>97797.062000000005</v>
      </c>
      <c r="AR259">
        <v>97080.076000000001</v>
      </c>
      <c r="AS259">
        <v>98379.396999999997</v>
      </c>
      <c r="AT259">
        <v>96687.224000000002</v>
      </c>
      <c r="AU259">
        <v>97230.365999999995</v>
      </c>
      <c r="AV259">
        <v>90835.001999999993</v>
      </c>
      <c r="AW259">
        <v>88530.36</v>
      </c>
      <c r="AX259">
        <v>85162.391000000003</v>
      </c>
      <c r="AY259">
        <v>84427.485000000001</v>
      </c>
      <c r="AZ259">
        <v>83229.005000000005</v>
      </c>
      <c r="BA259">
        <v>82811.956999999995</v>
      </c>
      <c r="BB259">
        <v>83008.803</v>
      </c>
      <c r="BC259">
        <v>81085.232999999993</v>
      </c>
      <c r="BD259">
        <v>80807.577999999994</v>
      </c>
      <c r="BE259">
        <v>79186.887000000002</v>
      </c>
      <c r="BF259">
        <v>77924.286999999997</v>
      </c>
      <c r="BG259">
        <v>77863.891000000003</v>
      </c>
      <c r="BH259">
        <v>77727.153999999995</v>
      </c>
      <c r="BI259">
        <v>67881.207999999999</v>
      </c>
      <c r="BJ259">
        <v>68021.263000000006</v>
      </c>
      <c r="BK259">
        <v>68246.837</v>
      </c>
      <c r="BL259">
        <v>68153.615999999995</v>
      </c>
      <c r="BM259">
        <v>68439.221999999994</v>
      </c>
      <c r="BN259" t="str">
        <f>""</f>
        <v/>
      </c>
      <c r="BO259" t="str">
        <f>""</f>
        <v/>
      </c>
      <c r="BP259" t="str">
        <f>""</f>
        <v/>
      </c>
      <c r="BQ259" t="str">
        <f>""</f>
        <v/>
      </c>
      <c r="BR259" t="str">
        <f>""</f>
        <v/>
      </c>
      <c r="BS259" t="str">
        <f>""</f>
        <v/>
      </c>
      <c r="BT259" t="str">
        <f>""</f>
        <v/>
      </c>
      <c r="BU259" t="str">
        <f>""</f>
        <v/>
      </c>
      <c r="BV259" t="str">
        <f>""</f>
        <v/>
      </c>
      <c r="BW259" t="str">
        <f>""</f>
        <v/>
      </c>
      <c r="BX259" t="str">
        <f>""</f>
        <v/>
      </c>
      <c r="BY259" t="str">
        <f>""</f>
        <v/>
      </c>
      <c r="BZ259" t="str">
        <f>""</f>
        <v/>
      </c>
      <c r="CA259" t="str">
        <f>""</f>
        <v/>
      </c>
      <c r="CB259" t="str">
        <f>""</f>
        <v/>
      </c>
      <c r="CC259" t="str">
        <f>""</f>
        <v/>
      </c>
      <c r="CD259" t="str">
        <f>""</f>
        <v/>
      </c>
      <c r="CE259" t="str">
        <f>""</f>
        <v/>
      </c>
      <c r="CF259" t="str">
        <f>""</f>
        <v/>
      </c>
      <c r="CG259" t="str">
        <f>""</f>
        <v/>
      </c>
      <c r="CH259" t="str">
        <f>""</f>
        <v/>
      </c>
      <c r="CI259" t="str">
        <f>""</f>
        <v/>
      </c>
      <c r="CJ259" t="str">
        <f>""</f>
        <v/>
      </c>
      <c r="CK259" t="str">
        <f>""</f>
        <v/>
      </c>
      <c r="CL259" t="str">
        <f>""</f>
        <v/>
      </c>
      <c r="CM259" t="str">
        <f>""</f>
        <v/>
      </c>
      <c r="CN259" t="str">
        <f>""</f>
        <v/>
      </c>
      <c r="CO259" t="str">
        <f>""</f>
        <v/>
      </c>
      <c r="CP259" t="str">
        <f>""</f>
        <v/>
      </c>
      <c r="CQ259" t="str">
        <f>""</f>
        <v/>
      </c>
      <c r="CR259" t="str">
        <f>""</f>
        <v/>
      </c>
      <c r="CS259" t="str">
        <f>""</f>
        <v/>
      </c>
      <c r="CT259" t="str">
        <f>""</f>
        <v/>
      </c>
      <c r="CU259" t="str">
        <f>""</f>
        <v/>
      </c>
      <c r="CV259" t="str">
        <f>""</f>
        <v/>
      </c>
      <c r="CW259" t="str">
        <f>""</f>
        <v/>
      </c>
      <c r="CX259" t="str">
        <f>""</f>
        <v/>
      </c>
      <c r="CY259" t="str">
        <f>""</f>
        <v/>
      </c>
      <c r="CZ259" t="str">
        <f>""</f>
        <v/>
      </c>
      <c r="DA259" t="str">
        <f>""</f>
        <v/>
      </c>
      <c r="DB259" t="str">
        <f>""</f>
        <v/>
      </c>
      <c r="DC259" t="str">
        <f>""</f>
        <v/>
      </c>
      <c r="DD259" t="str">
        <f>""</f>
        <v/>
      </c>
      <c r="DE259" t="str">
        <f>""</f>
        <v/>
      </c>
      <c r="DF259" t="str">
        <f>""</f>
        <v/>
      </c>
      <c r="DG259" t="str">
        <f>""</f>
        <v/>
      </c>
      <c r="DH259" t="str">
        <f>""</f>
        <v/>
      </c>
      <c r="DI259" t="str">
        <f>""</f>
        <v/>
      </c>
      <c r="DJ259" t="str">
        <f>""</f>
        <v/>
      </c>
      <c r="DK259" t="str">
        <f>""</f>
        <v/>
      </c>
      <c r="DL259" t="str">
        <f>""</f>
        <v/>
      </c>
      <c r="DM259" t="str">
        <f>""</f>
        <v/>
      </c>
      <c r="DN259" t="str">
        <f>""</f>
        <v/>
      </c>
      <c r="DO259" t="str">
        <f>""</f>
        <v/>
      </c>
      <c r="DP259" t="str">
        <f>""</f>
        <v/>
      </c>
      <c r="DQ259" t="str">
        <f>""</f>
        <v/>
      </c>
      <c r="DR259" t="str">
        <f>""</f>
        <v/>
      </c>
      <c r="DS259" t="str">
        <f>""</f>
        <v/>
      </c>
      <c r="DT259" t="str">
        <f>""</f>
        <v/>
      </c>
      <c r="DU259" t="str">
        <f>""</f>
        <v/>
      </c>
    </row>
    <row r="260" spans="1:125" x14ac:dyDescent="0.25">
      <c r="A260" t="str">
        <f>$A$123</f>
        <v xml:space="preserve">            PNC Financial Services Group I</v>
      </c>
      <c r="B260" t="str">
        <f>$B$123</f>
        <v>PNC US Equity</v>
      </c>
      <c r="C260" t="str">
        <f>$C$123</f>
        <v>FC001</v>
      </c>
      <c r="D260" t="str">
        <f>$D$123</f>
        <v>FDIC_TOTAL_ASSETS</v>
      </c>
      <c r="E260" t="str">
        <f>$E$123</f>
        <v>Dynamic</v>
      </c>
      <c r="F260">
        <f ca="1">_xll.BDH($B$123,$C$123,$B$143,$B$144,CONCATENATE("Per=",$B$141),"Dts=H","Dir=H",CONCATENATE("Points=",$B$142),"Sort=R","Days=A","Fill=B",CONCATENATE("FX=", $B$140),"cols=60;rows=1")</f>
        <v>560050.97699999996</v>
      </c>
      <c r="G260">
        <v>565085.25699999998</v>
      </c>
      <c r="H260">
        <v>556539.10900000005</v>
      </c>
      <c r="I260">
        <v>566181.44700000004</v>
      </c>
      <c r="J260">
        <v>561599.81299999997</v>
      </c>
      <c r="K260">
        <v>557355.74300000002</v>
      </c>
      <c r="L260">
        <v>558222.91799999995</v>
      </c>
      <c r="M260">
        <v>561825.21699999995</v>
      </c>
      <c r="N260">
        <v>557293.58200000005</v>
      </c>
      <c r="O260">
        <v>559495.69900000002</v>
      </c>
      <c r="P260">
        <v>541012.603</v>
      </c>
      <c r="Q260">
        <v>541469.01399999997</v>
      </c>
      <c r="R260">
        <v>557251.076</v>
      </c>
      <c r="S260">
        <v>554456.68900000001</v>
      </c>
      <c r="T260">
        <v>554775.84</v>
      </c>
      <c r="U260">
        <v>474509.29499999998</v>
      </c>
      <c r="V260">
        <v>466864.739</v>
      </c>
      <c r="W260">
        <v>461914.32699999999</v>
      </c>
      <c r="X260">
        <v>459038.46299999999</v>
      </c>
      <c r="Y260">
        <v>445567.54599999997</v>
      </c>
      <c r="Z260">
        <v>410373.28100000002</v>
      </c>
      <c r="AA260">
        <v>409007.22700000001</v>
      </c>
      <c r="AB260">
        <v>405855.13500000001</v>
      </c>
      <c r="AC260">
        <v>392853.92300000001</v>
      </c>
      <c r="AD260">
        <v>382334.64299999998</v>
      </c>
      <c r="AE260">
        <v>380275.66600000003</v>
      </c>
      <c r="AF260">
        <v>380796.20699999999</v>
      </c>
      <c r="AG260">
        <v>379753.92300000001</v>
      </c>
      <c r="AH260">
        <v>381450.62199999997</v>
      </c>
      <c r="AI260">
        <v>375255.76500000001</v>
      </c>
      <c r="AJ260">
        <v>372356.96100000001</v>
      </c>
      <c r="AK260">
        <v>371278.32699999999</v>
      </c>
      <c r="AL260">
        <v>366872.24900000001</v>
      </c>
      <c r="AM260">
        <v>369441.90500000003</v>
      </c>
      <c r="AN260">
        <v>361528.40600000002</v>
      </c>
      <c r="AO260">
        <v>361187.04</v>
      </c>
      <c r="AP260">
        <v>358690.08500000002</v>
      </c>
      <c r="AQ260">
        <v>362137.16399999999</v>
      </c>
      <c r="AR260">
        <v>354201.92499999999</v>
      </c>
      <c r="AS260">
        <v>351162.10499999998</v>
      </c>
      <c r="AT260">
        <v>345243.08100000001</v>
      </c>
      <c r="AU260">
        <v>334602.342</v>
      </c>
      <c r="AV260">
        <v>327251.47399999999</v>
      </c>
      <c r="AW260">
        <v>323586.973</v>
      </c>
      <c r="AX260">
        <v>320596.23200000002</v>
      </c>
      <c r="AY260">
        <v>308912.603</v>
      </c>
      <c r="AZ260">
        <v>304547.66700000002</v>
      </c>
      <c r="BA260">
        <v>300945.93300000002</v>
      </c>
      <c r="BB260">
        <v>305285.87900000002</v>
      </c>
      <c r="BC260">
        <v>301077.31099999999</v>
      </c>
      <c r="BD260">
        <v>299712.01799999998</v>
      </c>
      <c r="BE260">
        <v>296119.07</v>
      </c>
      <c r="BF260">
        <v>271407.158</v>
      </c>
      <c r="BG260">
        <v>269555.46600000001</v>
      </c>
      <c r="BH260">
        <v>263259.89399999997</v>
      </c>
      <c r="BI260">
        <v>259500.61199999999</v>
      </c>
      <c r="BJ260">
        <v>264414.11200000002</v>
      </c>
      <c r="BK260">
        <v>260174.10200000001</v>
      </c>
      <c r="BL260">
        <v>261769.26199999999</v>
      </c>
      <c r="BM260">
        <v>265432.97700000001</v>
      </c>
      <c r="BN260" t="str">
        <f>""</f>
        <v/>
      </c>
      <c r="BO260" t="str">
        <f>""</f>
        <v/>
      </c>
      <c r="BP260" t="str">
        <f>""</f>
        <v/>
      </c>
      <c r="BQ260" t="str">
        <f>""</f>
        <v/>
      </c>
      <c r="BR260" t="str">
        <f>""</f>
        <v/>
      </c>
      <c r="BS260" t="str">
        <f>""</f>
        <v/>
      </c>
      <c r="BT260" t="str">
        <f>""</f>
        <v/>
      </c>
      <c r="BU260" t="str">
        <f>""</f>
        <v/>
      </c>
      <c r="BV260" t="str">
        <f>""</f>
        <v/>
      </c>
      <c r="BW260" t="str">
        <f>""</f>
        <v/>
      </c>
      <c r="BX260" t="str">
        <f>""</f>
        <v/>
      </c>
      <c r="BY260" t="str">
        <f>""</f>
        <v/>
      </c>
      <c r="BZ260" t="str">
        <f>""</f>
        <v/>
      </c>
      <c r="CA260" t="str">
        <f>""</f>
        <v/>
      </c>
      <c r="CB260" t="str">
        <f>""</f>
        <v/>
      </c>
      <c r="CC260" t="str">
        <f>""</f>
        <v/>
      </c>
      <c r="CD260" t="str">
        <f>""</f>
        <v/>
      </c>
      <c r="CE260" t="str">
        <f>""</f>
        <v/>
      </c>
      <c r="CF260" t="str">
        <f>""</f>
        <v/>
      </c>
      <c r="CG260" t="str">
        <f>""</f>
        <v/>
      </c>
      <c r="CH260" t="str">
        <f>""</f>
        <v/>
      </c>
      <c r="CI260" t="str">
        <f>""</f>
        <v/>
      </c>
      <c r="CJ260" t="str">
        <f>""</f>
        <v/>
      </c>
      <c r="CK260" t="str">
        <f>""</f>
        <v/>
      </c>
      <c r="CL260" t="str">
        <f>""</f>
        <v/>
      </c>
      <c r="CM260" t="str">
        <f>""</f>
        <v/>
      </c>
      <c r="CN260" t="str">
        <f>""</f>
        <v/>
      </c>
      <c r="CO260" t="str">
        <f>""</f>
        <v/>
      </c>
      <c r="CP260" t="str">
        <f>""</f>
        <v/>
      </c>
      <c r="CQ260" t="str">
        <f>""</f>
        <v/>
      </c>
      <c r="CR260" t="str">
        <f>""</f>
        <v/>
      </c>
      <c r="CS260" t="str">
        <f>""</f>
        <v/>
      </c>
      <c r="CT260" t="str">
        <f>""</f>
        <v/>
      </c>
      <c r="CU260" t="str">
        <f>""</f>
        <v/>
      </c>
      <c r="CV260" t="str">
        <f>""</f>
        <v/>
      </c>
      <c r="CW260" t="str">
        <f>""</f>
        <v/>
      </c>
      <c r="CX260" t="str">
        <f>""</f>
        <v/>
      </c>
      <c r="CY260" t="str">
        <f>""</f>
        <v/>
      </c>
      <c r="CZ260" t="str">
        <f>""</f>
        <v/>
      </c>
      <c r="DA260" t="str">
        <f>""</f>
        <v/>
      </c>
      <c r="DB260" t="str">
        <f>""</f>
        <v/>
      </c>
      <c r="DC260" t="str">
        <f>""</f>
        <v/>
      </c>
      <c r="DD260" t="str">
        <f>""</f>
        <v/>
      </c>
      <c r="DE260" t="str">
        <f>""</f>
        <v/>
      </c>
      <c r="DF260" t="str">
        <f>""</f>
        <v/>
      </c>
      <c r="DG260" t="str">
        <f>""</f>
        <v/>
      </c>
      <c r="DH260" t="str">
        <f>""</f>
        <v/>
      </c>
      <c r="DI260" t="str">
        <f>""</f>
        <v/>
      </c>
      <c r="DJ260" t="str">
        <f>""</f>
        <v/>
      </c>
      <c r="DK260" t="str">
        <f>""</f>
        <v/>
      </c>
      <c r="DL260" t="str">
        <f>""</f>
        <v/>
      </c>
      <c r="DM260" t="str">
        <f>""</f>
        <v/>
      </c>
      <c r="DN260" t="str">
        <f>""</f>
        <v/>
      </c>
      <c r="DO260" t="str">
        <f>""</f>
        <v/>
      </c>
      <c r="DP260" t="str">
        <f>""</f>
        <v/>
      </c>
      <c r="DQ260" t="str">
        <f>""</f>
        <v/>
      </c>
      <c r="DR260" t="str">
        <f>""</f>
        <v/>
      </c>
      <c r="DS260" t="str">
        <f>""</f>
        <v/>
      </c>
      <c r="DT260" t="str">
        <f>""</f>
        <v/>
      </c>
      <c r="DU260" t="str">
        <f>""</f>
        <v/>
      </c>
    </row>
    <row r="261" spans="1:125" x14ac:dyDescent="0.25">
      <c r="A261" t="str">
        <f>$A$124</f>
        <v xml:space="preserve">            Regions Financial Corp</v>
      </c>
      <c r="B261" t="str">
        <f>$B$124</f>
        <v>RF US Equity</v>
      </c>
      <c r="C261" t="str">
        <f>$C$124</f>
        <v>FC001</v>
      </c>
      <c r="D261" t="str">
        <f>$D$124</f>
        <v>FDIC_TOTAL_ASSETS</v>
      </c>
      <c r="E261" t="str">
        <f>$E$124</f>
        <v>Dynamic</v>
      </c>
      <c r="F261">
        <f ca="1">_xll.BDH($B$124,$C$124,$B$143,$B$144,CONCATENATE("Per=",$B$141),"Dts=H","Dir=H",CONCATENATE("Points=",$B$142),"Sort=R","Days=A","Fill=B",CONCATENATE("FX=", $B$140),"cols=60;rows=1")</f>
        <v>157460</v>
      </c>
      <c r="G261">
        <v>157740</v>
      </c>
      <c r="H261">
        <v>154396</v>
      </c>
      <c r="I261">
        <v>155227</v>
      </c>
      <c r="J261">
        <v>152632</v>
      </c>
      <c r="K261">
        <v>154218</v>
      </c>
      <c r="L261">
        <v>155878</v>
      </c>
      <c r="M261">
        <v>154296</v>
      </c>
      <c r="N261">
        <v>155628</v>
      </c>
      <c r="O261">
        <v>157943</v>
      </c>
      <c r="P261">
        <v>160952</v>
      </c>
      <c r="Q261">
        <v>164366</v>
      </c>
      <c r="R261">
        <v>163445</v>
      </c>
      <c r="S261">
        <v>156405</v>
      </c>
      <c r="T261">
        <v>155754</v>
      </c>
      <c r="U261">
        <v>153506</v>
      </c>
      <c r="V261">
        <v>147598</v>
      </c>
      <c r="W261">
        <v>145447</v>
      </c>
      <c r="X261">
        <v>144373</v>
      </c>
      <c r="Y261">
        <v>133638</v>
      </c>
      <c r="Z261">
        <v>126633</v>
      </c>
      <c r="AA261">
        <v>128436</v>
      </c>
      <c r="AB261">
        <v>127871</v>
      </c>
      <c r="AC261">
        <v>129089</v>
      </c>
      <c r="AD261">
        <v>125767.14599999999</v>
      </c>
      <c r="AE261">
        <v>124821.814</v>
      </c>
      <c r="AF261">
        <v>124789.25</v>
      </c>
      <c r="AG261">
        <v>123041.692</v>
      </c>
      <c r="AH261">
        <v>124584.40399999999</v>
      </c>
      <c r="AI261">
        <v>123518.484</v>
      </c>
      <c r="AJ261">
        <v>124778.399</v>
      </c>
      <c r="AK261">
        <v>124739.162</v>
      </c>
      <c r="AL261">
        <v>126193.95699999999</v>
      </c>
      <c r="AM261">
        <v>125307.103</v>
      </c>
      <c r="AN261">
        <v>126378.482</v>
      </c>
      <c r="AO261">
        <v>125747.379</v>
      </c>
      <c r="AP261">
        <v>126234.344</v>
      </c>
      <c r="AQ261">
        <v>124891.54</v>
      </c>
      <c r="AR261">
        <v>121967.042</v>
      </c>
      <c r="AS261">
        <v>122515.87699999999</v>
      </c>
      <c r="AT261">
        <v>119888.66899999999</v>
      </c>
      <c r="AU261">
        <v>119301.81299999999</v>
      </c>
      <c r="AV261">
        <v>119013.705</v>
      </c>
      <c r="AW261">
        <v>118136.516</v>
      </c>
      <c r="AX261">
        <v>117661.732</v>
      </c>
      <c r="AY261">
        <v>116937.255</v>
      </c>
      <c r="AZ261">
        <v>118782.56299999999</v>
      </c>
      <c r="BA261">
        <v>119717.632</v>
      </c>
      <c r="BB261">
        <v>121347.38800000001</v>
      </c>
      <c r="BC261">
        <v>121797.804</v>
      </c>
      <c r="BD261">
        <v>122344.664</v>
      </c>
      <c r="BE261">
        <v>128281.787</v>
      </c>
      <c r="BF261">
        <v>127049.90700000001</v>
      </c>
      <c r="BG261">
        <v>129761.507</v>
      </c>
      <c r="BH261">
        <v>130907.84</v>
      </c>
      <c r="BI261">
        <v>131798.82399999999</v>
      </c>
      <c r="BJ261">
        <v>132399.29</v>
      </c>
      <c r="BK261">
        <v>133554.89600000001</v>
      </c>
      <c r="BL261">
        <v>135392.66</v>
      </c>
      <c r="BM261">
        <v>137287.28599999999</v>
      </c>
      <c r="BN261" t="str">
        <f>""</f>
        <v/>
      </c>
      <c r="BO261" t="str">
        <f>""</f>
        <v/>
      </c>
      <c r="BP261" t="str">
        <f>""</f>
        <v/>
      </c>
      <c r="BQ261" t="str">
        <f>""</f>
        <v/>
      </c>
      <c r="BR261" t="str">
        <f>""</f>
        <v/>
      </c>
      <c r="BS261" t="str">
        <f>""</f>
        <v/>
      </c>
      <c r="BT261" t="str">
        <f>""</f>
        <v/>
      </c>
      <c r="BU261" t="str">
        <f>""</f>
        <v/>
      </c>
      <c r="BV261" t="str">
        <f>""</f>
        <v/>
      </c>
      <c r="BW261" t="str">
        <f>""</f>
        <v/>
      </c>
      <c r="BX261" t="str">
        <f>""</f>
        <v/>
      </c>
      <c r="BY261" t="str">
        <f>""</f>
        <v/>
      </c>
      <c r="BZ261" t="str">
        <f>""</f>
        <v/>
      </c>
      <c r="CA261" t="str">
        <f>""</f>
        <v/>
      </c>
      <c r="CB261" t="str">
        <f>""</f>
        <v/>
      </c>
      <c r="CC261" t="str">
        <f>""</f>
        <v/>
      </c>
      <c r="CD261" t="str">
        <f>""</f>
        <v/>
      </c>
      <c r="CE261" t="str">
        <f>""</f>
        <v/>
      </c>
      <c r="CF261" t="str">
        <f>""</f>
        <v/>
      </c>
      <c r="CG261" t="str">
        <f>""</f>
        <v/>
      </c>
      <c r="CH261" t="str">
        <f>""</f>
        <v/>
      </c>
      <c r="CI261" t="str">
        <f>""</f>
        <v/>
      </c>
      <c r="CJ261" t="str">
        <f>""</f>
        <v/>
      </c>
      <c r="CK261" t="str">
        <f>""</f>
        <v/>
      </c>
      <c r="CL261" t="str">
        <f>""</f>
        <v/>
      </c>
      <c r="CM261" t="str">
        <f>""</f>
        <v/>
      </c>
      <c r="CN261" t="str">
        <f>""</f>
        <v/>
      </c>
      <c r="CO261" t="str">
        <f>""</f>
        <v/>
      </c>
      <c r="CP261" t="str">
        <f>""</f>
        <v/>
      </c>
      <c r="CQ261" t="str">
        <f>""</f>
        <v/>
      </c>
      <c r="CR261" t="str">
        <f>""</f>
        <v/>
      </c>
      <c r="CS261" t="str">
        <f>""</f>
        <v/>
      </c>
      <c r="CT261" t="str">
        <f>""</f>
        <v/>
      </c>
      <c r="CU261" t="str">
        <f>""</f>
        <v/>
      </c>
      <c r="CV261" t="str">
        <f>""</f>
        <v/>
      </c>
      <c r="CW261" t="str">
        <f>""</f>
        <v/>
      </c>
      <c r="CX261" t="str">
        <f>""</f>
        <v/>
      </c>
      <c r="CY261" t="str">
        <f>""</f>
        <v/>
      </c>
      <c r="CZ261" t="str">
        <f>""</f>
        <v/>
      </c>
      <c r="DA261" t="str">
        <f>""</f>
        <v/>
      </c>
      <c r="DB261" t="str">
        <f>""</f>
        <v/>
      </c>
      <c r="DC261" t="str">
        <f>""</f>
        <v/>
      </c>
      <c r="DD261" t="str">
        <f>""</f>
        <v/>
      </c>
      <c r="DE261" t="str">
        <f>""</f>
        <v/>
      </c>
      <c r="DF261" t="str">
        <f>""</f>
        <v/>
      </c>
      <c r="DG261" t="str">
        <f>""</f>
        <v/>
      </c>
      <c r="DH261" t="str">
        <f>""</f>
        <v/>
      </c>
      <c r="DI261" t="str">
        <f>""</f>
        <v/>
      </c>
      <c r="DJ261" t="str">
        <f>""</f>
        <v/>
      </c>
      <c r="DK261" t="str">
        <f>""</f>
        <v/>
      </c>
      <c r="DL261" t="str">
        <f>""</f>
        <v/>
      </c>
      <c r="DM261" t="str">
        <f>""</f>
        <v/>
      </c>
      <c r="DN261" t="str">
        <f>""</f>
        <v/>
      </c>
      <c r="DO261" t="str">
        <f>""</f>
        <v/>
      </c>
      <c r="DP261" t="str">
        <f>""</f>
        <v/>
      </c>
      <c r="DQ261" t="str">
        <f>""</f>
        <v/>
      </c>
      <c r="DR261" t="str">
        <f>""</f>
        <v/>
      </c>
      <c r="DS261" t="str">
        <f>""</f>
        <v/>
      </c>
      <c r="DT261" t="str">
        <f>""</f>
        <v/>
      </c>
      <c r="DU261" t="str">
        <f>""</f>
        <v/>
      </c>
    </row>
    <row r="262" spans="1:125" x14ac:dyDescent="0.25">
      <c r="A262" t="str">
        <f>$A$125</f>
        <v xml:space="preserve">            Truist Financial Corp</v>
      </c>
      <c r="B262" t="str">
        <f>$B$125</f>
        <v>TFC US Equity</v>
      </c>
      <c r="C262" t="str">
        <f>$C$125</f>
        <v>FC001</v>
      </c>
      <c r="D262" t="str">
        <f>$D$125</f>
        <v>FDIC_TOTAL_ASSETS</v>
      </c>
      <c r="E262" t="str">
        <f>$E$125</f>
        <v>Dynamic</v>
      </c>
      <c r="F262">
        <f ca="1">_xll.BDH($B$125,$C$125,$B$143,$B$144,CONCATENATE("Per=",$B$141),"Dts=H","Dir=H",CONCATENATE("Points=",$B$142),"Sort=R","Days=A","Fill=B",CONCATENATE("FX=", $B$140),"cols=60;rows=1")</f>
        <v>531176</v>
      </c>
      <c r="G262">
        <v>523434</v>
      </c>
      <c r="H262">
        <v>519853</v>
      </c>
      <c r="I262">
        <v>534959</v>
      </c>
      <c r="J262">
        <v>535367</v>
      </c>
      <c r="K262">
        <v>542966</v>
      </c>
      <c r="L262">
        <v>554549</v>
      </c>
      <c r="M262">
        <v>574549</v>
      </c>
      <c r="N262">
        <v>555255</v>
      </c>
      <c r="O262">
        <v>548438</v>
      </c>
      <c r="P262">
        <v>545292</v>
      </c>
      <c r="Q262">
        <v>543979</v>
      </c>
      <c r="R262">
        <v>541241</v>
      </c>
      <c r="S262">
        <v>529884</v>
      </c>
      <c r="T262">
        <v>521964</v>
      </c>
      <c r="U262">
        <v>517537</v>
      </c>
      <c r="V262">
        <v>509228</v>
      </c>
      <c r="W262">
        <v>499183</v>
      </c>
      <c r="X262">
        <v>504336</v>
      </c>
      <c r="Y262">
        <v>506229</v>
      </c>
      <c r="Z262">
        <v>473078</v>
      </c>
      <c r="AA262">
        <v>236750</v>
      </c>
      <c r="AB262">
        <v>230872</v>
      </c>
      <c r="AC262">
        <v>227683</v>
      </c>
      <c r="AD262">
        <v>225697</v>
      </c>
      <c r="AE262">
        <v>222885</v>
      </c>
      <c r="AF262">
        <v>222681</v>
      </c>
      <c r="AG262">
        <v>220729</v>
      </c>
      <c r="AH262">
        <v>221642</v>
      </c>
      <c r="AI262">
        <v>220340</v>
      </c>
      <c r="AJ262">
        <v>221192</v>
      </c>
      <c r="AK262">
        <v>220500.51800000001</v>
      </c>
      <c r="AL262">
        <v>219276.323</v>
      </c>
      <c r="AM262">
        <v>222622.299</v>
      </c>
      <c r="AN262">
        <v>221858.61499999999</v>
      </c>
      <c r="AO262">
        <v>212405.266</v>
      </c>
      <c r="AP262">
        <v>209947.022</v>
      </c>
      <c r="AQ262">
        <v>208808.671</v>
      </c>
      <c r="AR262">
        <v>191017.48199999999</v>
      </c>
      <c r="AS262">
        <v>189227.83799999999</v>
      </c>
      <c r="AT262">
        <v>186813.98699999999</v>
      </c>
      <c r="AU262">
        <v>187021.50899999999</v>
      </c>
      <c r="AV262">
        <v>188012.33</v>
      </c>
      <c r="AW262">
        <v>184651.158</v>
      </c>
      <c r="AX262">
        <v>183009.992</v>
      </c>
      <c r="AY262">
        <v>181050.008</v>
      </c>
      <c r="AZ262">
        <v>182735.15299999999</v>
      </c>
      <c r="BA262">
        <v>180836.75700000001</v>
      </c>
      <c r="BB262">
        <v>183872.37100000001</v>
      </c>
      <c r="BC262">
        <v>182021.37100000001</v>
      </c>
      <c r="BD262">
        <v>178529.372</v>
      </c>
      <c r="BE262">
        <v>174751.894</v>
      </c>
      <c r="BF262">
        <v>174579.29399999999</v>
      </c>
      <c r="BG262">
        <v>167676.889</v>
      </c>
      <c r="BH262">
        <v>159309.671</v>
      </c>
      <c r="BI262">
        <v>157039.11799999999</v>
      </c>
      <c r="BJ262">
        <v>157081.39600000001</v>
      </c>
      <c r="BK262">
        <v>157230.367</v>
      </c>
      <c r="BL262">
        <v>155083.05799999999</v>
      </c>
      <c r="BM262">
        <v>163700.076</v>
      </c>
      <c r="BN262" t="str">
        <f>""</f>
        <v/>
      </c>
      <c r="BO262" t="str">
        <f>""</f>
        <v/>
      </c>
      <c r="BP262" t="str">
        <f>""</f>
        <v/>
      </c>
      <c r="BQ262" t="str">
        <f>""</f>
        <v/>
      </c>
      <c r="BR262" t="str">
        <f>""</f>
        <v/>
      </c>
      <c r="BS262" t="str">
        <f>""</f>
        <v/>
      </c>
      <c r="BT262" t="str">
        <f>""</f>
        <v/>
      </c>
      <c r="BU262" t="str">
        <f>""</f>
        <v/>
      </c>
      <c r="BV262" t="str">
        <f>""</f>
        <v/>
      </c>
      <c r="BW262" t="str">
        <f>""</f>
        <v/>
      </c>
      <c r="BX262" t="str">
        <f>""</f>
        <v/>
      </c>
      <c r="BY262" t="str">
        <f>""</f>
        <v/>
      </c>
      <c r="BZ262" t="str">
        <f>""</f>
        <v/>
      </c>
      <c r="CA262" t="str">
        <f>""</f>
        <v/>
      </c>
      <c r="CB262" t="str">
        <f>""</f>
        <v/>
      </c>
      <c r="CC262" t="str">
        <f>""</f>
        <v/>
      </c>
      <c r="CD262" t="str">
        <f>""</f>
        <v/>
      </c>
      <c r="CE262" t="str">
        <f>""</f>
        <v/>
      </c>
      <c r="CF262" t="str">
        <f>""</f>
        <v/>
      </c>
      <c r="CG262" t="str">
        <f>""</f>
        <v/>
      </c>
      <c r="CH262" t="str">
        <f>""</f>
        <v/>
      </c>
      <c r="CI262" t="str">
        <f>""</f>
        <v/>
      </c>
      <c r="CJ262" t="str">
        <f>""</f>
        <v/>
      </c>
      <c r="CK262" t="str">
        <f>""</f>
        <v/>
      </c>
      <c r="CL262" t="str">
        <f>""</f>
        <v/>
      </c>
      <c r="CM262" t="str">
        <f>""</f>
        <v/>
      </c>
      <c r="CN262" t="str">
        <f>""</f>
        <v/>
      </c>
      <c r="CO262" t="str">
        <f>""</f>
        <v/>
      </c>
      <c r="CP262" t="str">
        <f>""</f>
        <v/>
      </c>
      <c r="CQ262" t="str">
        <f>""</f>
        <v/>
      </c>
      <c r="CR262" t="str">
        <f>""</f>
        <v/>
      </c>
      <c r="CS262" t="str">
        <f>""</f>
        <v/>
      </c>
      <c r="CT262" t="str">
        <f>""</f>
        <v/>
      </c>
      <c r="CU262" t="str">
        <f>""</f>
        <v/>
      </c>
      <c r="CV262" t="str">
        <f>""</f>
        <v/>
      </c>
      <c r="CW262" t="str">
        <f>""</f>
        <v/>
      </c>
      <c r="CX262" t="str">
        <f>""</f>
        <v/>
      </c>
      <c r="CY262" t="str">
        <f>""</f>
        <v/>
      </c>
      <c r="CZ262" t="str">
        <f>""</f>
        <v/>
      </c>
      <c r="DA262" t="str">
        <f>""</f>
        <v/>
      </c>
      <c r="DB262" t="str">
        <f>""</f>
        <v/>
      </c>
      <c r="DC262" t="str">
        <f>""</f>
        <v/>
      </c>
      <c r="DD262" t="str">
        <f>""</f>
        <v/>
      </c>
      <c r="DE262" t="str">
        <f>""</f>
        <v/>
      </c>
      <c r="DF262" t="str">
        <f>""</f>
        <v/>
      </c>
      <c r="DG262" t="str">
        <f>""</f>
        <v/>
      </c>
      <c r="DH262" t="str">
        <f>""</f>
        <v/>
      </c>
      <c r="DI262" t="str">
        <f>""</f>
        <v/>
      </c>
      <c r="DJ262" t="str">
        <f>""</f>
        <v/>
      </c>
      <c r="DK262" t="str">
        <f>""</f>
        <v/>
      </c>
      <c r="DL262" t="str">
        <f>""</f>
        <v/>
      </c>
      <c r="DM262" t="str">
        <f>""</f>
        <v/>
      </c>
      <c r="DN262" t="str">
        <f>""</f>
        <v/>
      </c>
      <c r="DO262" t="str">
        <f>""</f>
        <v/>
      </c>
      <c r="DP262" t="str">
        <f>""</f>
        <v/>
      </c>
      <c r="DQ262" t="str">
        <f>""</f>
        <v/>
      </c>
      <c r="DR262" t="str">
        <f>""</f>
        <v/>
      </c>
      <c r="DS262" t="str">
        <f>""</f>
        <v/>
      </c>
      <c r="DT262" t="str">
        <f>""</f>
        <v/>
      </c>
      <c r="DU262" t="str">
        <f>""</f>
        <v/>
      </c>
    </row>
    <row r="263" spans="1:125" x14ac:dyDescent="0.25">
      <c r="A263" t="str">
        <f>$A$126</f>
        <v xml:space="preserve">            US Bancorp</v>
      </c>
      <c r="B263" t="str">
        <f>$B$126</f>
        <v>USB US Equity</v>
      </c>
      <c r="C263" t="str">
        <f>$C$126</f>
        <v>FC001</v>
      </c>
      <c r="D263" t="str">
        <f>$D$126</f>
        <v>FDIC_TOTAL_ASSETS</v>
      </c>
      <c r="E263" t="str">
        <f>$E$126</f>
        <v>Dynamic</v>
      </c>
      <c r="F263">
        <f ca="1">_xll.BDH($B$126,$C$126,$B$143,$B$144,CONCATENATE("Per=",$B$141),"Dts=H","Dir=H",CONCATENATE("Points=",$B$142),"Sort=R","Days=A","Fill=B",CONCATENATE("FX=", $B$140),"cols=60;rows=1")</f>
        <v>678318</v>
      </c>
      <c r="G263">
        <v>686469</v>
      </c>
      <c r="H263">
        <v>680058</v>
      </c>
      <c r="I263">
        <v>683606</v>
      </c>
      <c r="J263">
        <v>663491</v>
      </c>
      <c r="K263">
        <v>668039</v>
      </c>
      <c r="L263">
        <v>680825</v>
      </c>
      <c r="M263">
        <v>682377</v>
      </c>
      <c r="N263">
        <v>674805</v>
      </c>
      <c r="O263">
        <v>600973</v>
      </c>
      <c r="P263">
        <v>591381</v>
      </c>
      <c r="Q263">
        <v>586517</v>
      </c>
      <c r="R263">
        <v>573284</v>
      </c>
      <c r="S263">
        <v>567495</v>
      </c>
      <c r="T263">
        <v>558886</v>
      </c>
      <c r="U263">
        <v>553375</v>
      </c>
      <c r="V263">
        <v>553905</v>
      </c>
      <c r="W263">
        <v>540455</v>
      </c>
      <c r="X263">
        <v>546652</v>
      </c>
      <c r="Y263">
        <v>542909</v>
      </c>
      <c r="Z263">
        <v>495426</v>
      </c>
      <c r="AA263">
        <v>487671</v>
      </c>
      <c r="AB263">
        <v>481719</v>
      </c>
      <c r="AC263">
        <v>475775</v>
      </c>
      <c r="AD263">
        <v>467374</v>
      </c>
      <c r="AE263">
        <v>464607</v>
      </c>
      <c r="AF263">
        <v>461329</v>
      </c>
      <c r="AG263">
        <v>460119</v>
      </c>
      <c r="AH263">
        <v>462040</v>
      </c>
      <c r="AI263">
        <v>459227</v>
      </c>
      <c r="AJ263">
        <v>463844</v>
      </c>
      <c r="AK263">
        <v>449522</v>
      </c>
      <c r="AL263">
        <v>445964</v>
      </c>
      <c r="AM263">
        <v>454134</v>
      </c>
      <c r="AN263">
        <v>438463</v>
      </c>
      <c r="AO263">
        <v>428638</v>
      </c>
      <c r="AP263">
        <v>421853</v>
      </c>
      <c r="AQ263">
        <v>415943</v>
      </c>
      <c r="AR263">
        <v>419075</v>
      </c>
      <c r="AS263">
        <v>410233</v>
      </c>
      <c r="AT263">
        <v>402529</v>
      </c>
      <c r="AU263">
        <v>391284</v>
      </c>
      <c r="AV263">
        <v>389065</v>
      </c>
      <c r="AW263">
        <v>371289</v>
      </c>
      <c r="AX263">
        <v>364021</v>
      </c>
      <c r="AY263">
        <v>360681</v>
      </c>
      <c r="AZ263">
        <v>353415</v>
      </c>
      <c r="BA263">
        <v>355447</v>
      </c>
      <c r="BB263">
        <v>353855</v>
      </c>
      <c r="BC263">
        <v>352253</v>
      </c>
      <c r="BD263">
        <v>353136</v>
      </c>
      <c r="BE263">
        <v>340762</v>
      </c>
      <c r="BF263">
        <v>340122</v>
      </c>
      <c r="BG263">
        <v>330141</v>
      </c>
      <c r="BH263">
        <v>320874</v>
      </c>
      <c r="BI263">
        <v>311462</v>
      </c>
      <c r="BJ263">
        <v>307786</v>
      </c>
      <c r="BK263">
        <v>290654</v>
      </c>
      <c r="BL263">
        <v>283243</v>
      </c>
      <c r="BM263">
        <v>282428</v>
      </c>
      <c r="BN263" t="str">
        <f>""</f>
        <v/>
      </c>
      <c r="BO263" t="str">
        <f>""</f>
        <v/>
      </c>
      <c r="BP263" t="str">
        <f>""</f>
        <v/>
      </c>
      <c r="BQ263" t="str">
        <f>""</f>
        <v/>
      </c>
      <c r="BR263" t="str">
        <f>""</f>
        <v/>
      </c>
      <c r="BS263" t="str">
        <f>""</f>
        <v/>
      </c>
      <c r="BT263" t="str">
        <f>""</f>
        <v/>
      </c>
      <c r="BU263" t="str">
        <f>""</f>
        <v/>
      </c>
      <c r="BV263" t="str">
        <f>""</f>
        <v/>
      </c>
      <c r="BW263" t="str">
        <f>""</f>
        <v/>
      </c>
      <c r="BX263" t="str">
        <f>""</f>
        <v/>
      </c>
      <c r="BY263" t="str">
        <f>""</f>
        <v/>
      </c>
      <c r="BZ263" t="str">
        <f>""</f>
        <v/>
      </c>
      <c r="CA263" t="str">
        <f>""</f>
        <v/>
      </c>
      <c r="CB263" t="str">
        <f>""</f>
        <v/>
      </c>
      <c r="CC263" t="str">
        <f>""</f>
        <v/>
      </c>
      <c r="CD263" t="str">
        <f>""</f>
        <v/>
      </c>
      <c r="CE263" t="str">
        <f>""</f>
        <v/>
      </c>
      <c r="CF263" t="str">
        <f>""</f>
        <v/>
      </c>
      <c r="CG263" t="str">
        <f>""</f>
        <v/>
      </c>
      <c r="CH263" t="str">
        <f>""</f>
        <v/>
      </c>
      <c r="CI263" t="str">
        <f>""</f>
        <v/>
      </c>
      <c r="CJ263" t="str">
        <f>""</f>
        <v/>
      </c>
      <c r="CK263" t="str">
        <f>""</f>
        <v/>
      </c>
      <c r="CL263" t="str">
        <f>""</f>
        <v/>
      </c>
      <c r="CM263" t="str">
        <f>""</f>
        <v/>
      </c>
      <c r="CN263" t="str">
        <f>""</f>
        <v/>
      </c>
      <c r="CO263" t="str">
        <f>""</f>
        <v/>
      </c>
      <c r="CP263" t="str">
        <f>""</f>
        <v/>
      </c>
      <c r="CQ263" t="str">
        <f>""</f>
        <v/>
      </c>
      <c r="CR263" t="str">
        <f>""</f>
        <v/>
      </c>
      <c r="CS263" t="str">
        <f>""</f>
        <v/>
      </c>
      <c r="CT263" t="str">
        <f>""</f>
        <v/>
      </c>
      <c r="CU263" t="str">
        <f>""</f>
        <v/>
      </c>
      <c r="CV263" t="str">
        <f>""</f>
        <v/>
      </c>
      <c r="CW263" t="str">
        <f>""</f>
        <v/>
      </c>
      <c r="CX263" t="str">
        <f>""</f>
        <v/>
      </c>
      <c r="CY263" t="str">
        <f>""</f>
        <v/>
      </c>
      <c r="CZ263" t="str">
        <f>""</f>
        <v/>
      </c>
      <c r="DA263" t="str">
        <f>""</f>
        <v/>
      </c>
      <c r="DB263" t="str">
        <f>""</f>
        <v/>
      </c>
      <c r="DC263" t="str">
        <f>""</f>
        <v/>
      </c>
      <c r="DD263" t="str">
        <f>""</f>
        <v/>
      </c>
      <c r="DE263" t="str">
        <f>""</f>
        <v/>
      </c>
      <c r="DF263" t="str">
        <f>""</f>
        <v/>
      </c>
      <c r="DG263" t="str">
        <f>""</f>
        <v/>
      </c>
      <c r="DH263" t="str">
        <f>""</f>
        <v/>
      </c>
      <c r="DI263" t="str">
        <f>""</f>
        <v/>
      </c>
      <c r="DJ263" t="str">
        <f>""</f>
        <v/>
      </c>
      <c r="DK263" t="str">
        <f>""</f>
        <v/>
      </c>
      <c r="DL263" t="str">
        <f>""</f>
        <v/>
      </c>
      <c r="DM263" t="str">
        <f>""</f>
        <v/>
      </c>
      <c r="DN263" t="str">
        <f>""</f>
        <v/>
      </c>
      <c r="DO263" t="str">
        <f>""</f>
        <v/>
      </c>
      <c r="DP263" t="str">
        <f>""</f>
        <v/>
      </c>
      <c r="DQ263" t="str">
        <f>""</f>
        <v/>
      </c>
      <c r="DR263" t="str">
        <f>""</f>
        <v/>
      </c>
      <c r="DS263" t="str">
        <f>""</f>
        <v/>
      </c>
      <c r="DT263" t="str">
        <f>""</f>
        <v/>
      </c>
      <c r="DU263" t="str">
        <f>""</f>
        <v/>
      </c>
    </row>
    <row r="264" spans="1:125" x14ac:dyDescent="0.25">
      <c r="A264" t="str">
        <f>$A$127</f>
        <v xml:space="preserve">            Wells Fargo &amp; Co</v>
      </c>
      <c r="B264" t="str">
        <f>$B$127</f>
        <v>WFC US Equity</v>
      </c>
      <c r="C264" t="str">
        <f>$C$127</f>
        <v>FC001</v>
      </c>
      <c r="D264" t="str">
        <f>$D$127</f>
        <v>FDIC_TOTAL_ASSETS</v>
      </c>
      <c r="E264" t="str">
        <f>$E$127</f>
        <v>Dynamic</v>
      </c>
      <c r="F264">
        <f ca="1">_xll.BDH($B$127,$C$127,$B$143,$B$144,CONCATENATE("Per=",$B$141),"Dts=H","Dir=H",CONCATENATE("Points=",$B$142),"Sort=R","Days=A","Fill=B",CONCATENATE("FX=", $B$140),"cols=60;rows=1")</f>
        <v>1929845</v>
      </c>
      <c r="G264">
        <v>1922125</v>
      </c>
      <c r="H264">
        <v>1940074</v>
      </c>
      <c r="I264">
        <v>1959160</v>
      </c>
      <c r="J264">
        <v>1932472</v>
      </c>
      <c r="K264">
        <v>1909261</v>
      </c>
      <c r="L264">
        <v>1876322</v>
      </c>
      <c r="M264">
        <v>1886400</v>
      </c>
      <c r="N264">
        <v>1881016</v>
      </c>
      <c r="O264">
        <v>1877745</v>
      </c>
      <c r="P264">
        <v>1881142</v>
      </c>
      <c r="Q264">
        <v>1939709</v>
      </c>
      <c r="R264">
        <v>1948068</v>
      </c>
      <c r="S264">
        <v>1954901</v>
      </c>
      <c r="T264">
        <v>1945996</v>
      </c>
      <c r="U264">
        <v>1959543</v>
      </c>
      <c r="V264">
        <v>1955163</v>
      </c>
      <c r="W264">
        <v>1922220</v>
      </c>
      <c r="X264">
        <v>1968766</v>
      </c>
      <c r="Y264">
        <v>1981349</v>
      </c>
      <c r="Z264">
        <v>1927555</v>
      </c>
      <c r="AA264">
        <v>1943950</v>
      </c>
      <c r="AB264">
        <v>1923388</v>
      </c>
      <c r="AC264">
        <v>1887792</v>
      </c>
      <c r="AD264">
        <v>1895883</v>
      </c>
      <c r="AE264">
        <v>1872981</v>
      </c>
      <c r="AF264">
        <v>1879700</v>
      </c>
      <c r="AG264">
        <v>1915388</v>
      </c>
      <c r="AH264">
        <v>1951757</v>
      </c>
      <c r="AI264">
        <v>1934939</v>
      </c>
      <c r="AJ264">
        <v>1930871</v>
      </c>
      <c r="AK264">
        <v>1951564</v>
      </c>
      <c r="AL264">
        <v>1930115</v>
      </c>
      <c r="AM264">
        <v>1942124</v>
      </c>
      <c r="AN264">
        <v>1889235</v>
      </c>
      <c r="AO264">
        <v>1849182</v>
      </c>
      <c r="AP264">
        <v>1787632</v>
      </c>
      <c r="AQ264">
        <v>1751265</v>
      </c>
      <c r="AR264">
        <v>1720617</v>
      </c>
      <c r="AS264">
        <v>1737737</v>
      </c>
      <c r="AT264">
        <v>1687155</v>
      </c>
      <c r="AU264">
        <v>1636855</v>
      </c>
      <c r="AV264">
        <v>1598874</v>
      </c>
      <c r="AW264">
        <v>1546707</v>
      </c>
      <c r="AX264">
        <v>1527015</v>
      </c>
      <c r="AY264">
        <v>1488055</v>
      </c>
      <c r="AZ264">
        <v>1440563</v>
      </c>
      <c r="BA264">
        <v>1436634</v>
      </c>
      <c r="BB264">
        <v>1422968</v>
      </c>
      <c r="BC264">
        <v>1374715</v>
      </c>
      <c r="BD264">
        <v>1336204</v>
      </c>
      <c r="BE264">
        <v>1333799</v>
      </c>
      <c r="BF264">
        <v>1313867</v>
      </c>
      <c r="BG264">
        <v>1304945</v>
      </c>
      <c r="BH264">
        <v>1259734</v>
      </c>
      <c r="BI264">
        <v>1244666</v>
      </c>
      <c r="BJ264">
        <v>1258128</v>
      </c>
      <c r="BK264">
        <v>1220784</v>
      </c>
      <c r="BL264">
        <v>1225862</v>
      </c>
      <c r="BM264">
        <v>1223630</v>
      </c>
      <c r="BN264" t="str">
        <f>""</f>
        <v/>
      </c>
      <c r="BO264" t="str">
        <f>""</f>
        <v/>
      </c>
      <c r="BP264" t="str">
        <f>""</f>
        <v/>
      </c>
      <c r="BQ264" t="str">
        <f>""</f>
        <v/>
      </c>
      <c r="BR264" t="str">
        <f>""</f>
        <v/>
      </c>
      <c r="BS264" t="str">
        <f>""</f>
        <v/>
      </c>
      <c r="BT264" t="str">
        <f>""</f>
        <v/>
      </c>
      <c r="BU264" t="str">
        <f>""</f>
        <v/>
      </c>
      <c r="BV264" t="str">
        <f>""</f>
        <v/>
      </c>
      <c r="BW264" t="str">
        <f>""</f>
        <v/>
      </c>
      <c r="BX264" t="str">
        <f>""</f>
        <v/>
      </c>
      <c r="BY264" t="str">
        <f>""</f>
        <v/>
      </c>
      <c r="BZ264" t="str">
        <f>""</f>
        <v/>
      </c>
      <c r="CA264" t="str">
        <f>""</f>
        <v/>
      </c>
      <c r="CB264" t="str">
        <f>""</f>
        <v/>
      </c>
      <c r="CC264" t="str">
        <f>""</f>
        <v/>
      </c>
      <c r="CD264" t="str">
        <f>""</f>
        <v/>
      </c>
      <c r="CE264" t="str">
        <f>""</f>
        <v/>
      </c>
      <c r="CF264" t="str">
        <f>""</f>
        <v/>
      </c>
      <c r="CG264" t="str">
        <f>""</f>
        <v/>
      </c>
      <c r="CH264" t="str">
        <f>""</f>
        <v/>
      </c>
      <c r="CI264" t="str">
        <f>""</f>
        <v/>
      </c>
      <c r="CJ264" t="str">
        <f>""</f>
        <v/>
      </c>
      <c r="CK264" t="str">
        <f>""</f>
        <v/>
      </c>
      <c r="CL264" t="str">
        <f>""</f>
        <v/>
      </c>
      <c r="CM264" t="str">
        <f>""</f>
        <v/>
      </c>
      <c r="CN264" t="str">
        <f>""</f>
        <v/>
      </c>
      <c r="CO264" t="str">
        <f>""</f>
        <v/>
      </c>
      <c r="CP264" t="str">
        <f>""</f>
        <v/>
      </c>
      <c r="CQ264" t="str">
        <f>""</f>
        <v/>
      </c>
      <c r="CR264" t="str">
        <f>""</f>
        <v/>
      </c>
      <c r="CS264" t="str">
        <f>""</f>
        <v/>
      </c>
      <c r="CT264" t="str">
        <f>""</f>
        <v/>
      </c>
      <c r="CU264" t="str">
        <f>""</f>
        <v/>
      </c>
      <c r="CV264" t="str">
        <f>""</f>
        <v/>
      </c>
      <c r="CW264" t="str">
        <f>""</f>
        <v/>
      </c>
      <c r="CX264" t="str">
        <f>""</f>
        <v/>
      </c>
      <c r="CY264" t="str">
        <f>""</f>
        <v/>
      </c>
      <c r="CZ264" t="str">
        <f>""</f>
        <v/>
      </c>
      <c r="DA264" t="str">
        <f>""</f>
        <v/>
      </c>
      <c r="DB264" t="str">
        <f>""</f>
        <v/>
      </c>
      <c r="DC264" t="str">
        <f>""</f>
        <v/>
      </c>
      <c r="DD264" t="str">
        <f>""</f>
        <v/>
      </c>
      <c r="DE264" t="str">
        <f>""</f>
        <v/>
      </c>
      <c r="DF264" t="str">
        <f>""</f>
        <v/>
      </c>
      <c r="DG264" t="str">
        <f>""</f>
        <v/>
      </c>
      <c r="DH264" t="str">
        <f>""</f>
        <v/>
      </c>
      <c r="DI264" t="str">
        <f>""</f>
        <v/>
      </c>
      <c r="DJ264" t="str">
        <f>""</f>
        <v/>
      </c>
      <c r="DK264" t="str">
        <f>""</f>
        <v/>
      </c>
      <c r="DL264" t="str">
        <f>""</f>
        <v/>
      </c>
      <c r="DM264" t="str">
        <f>""</f>
        <v/>
      </c>
      <c r="DN264" t="str">
        <f>""</f>
        <v/>
      </c>
      <c r="DO264" t="str">
        <f>""</f>
        <v/>
      </c>
      <c r="DP264" t="str">
        <f>""</f>
        <v/>
      </c>
      <c r="DQ264" t="str">
        <f>""</f>
        <v/>
      </c>
      <c r="DR264" t="str">
        <f>""</f>
        <v/>
      </c>
      <c r="DS264" t="str">
        <f>""</f>
        <v/>
      </c>
      <c r="DT264" t="str">
        <f>""</f>
        <v/>
      </c>
      <c r="DU264" t="str">
        <f>""</f>
        <v/>
      </c>
    </row>
    <row r="265" spans="1:125" x14ac:dyDescent="0.25">
      <c r="A265" t="str">
        <f>$A$128</f>
        <v xml:space="preserve">            Western Alliance Bancorp</v>
      </c>
      <c r="B265" t="str">
        <f>$B$128</f>
        <v>WAL US Equity</v>
      </c>
      <c r="C265" t="str">
        <f>$C$128</f>
        <v>FC001</v>
      </c>
      <c r="D265" t="str">
        <f>$D$128</f>
        <v>FDIC_TOTAL_ASSETS</v>
      </c>
      <c r="E265" t="str">
        <f>$E$128</f>
        <v>Dynamic</v>
      </c>
      <c r="F265">
        <f ca="1">_xll.BDH($B$128,$C$128,$B$143,$B$144,CONCATENATE("Per=",$B$141),"Dts=H","Dir=H",CONCATENATE("Points=",$B$142),"Sort=R","Days=A","Fill=B",CONCATENATE("FX=", $B$140),"cols=60;rows=1")</f>
        <v>80934.240999999995</v>
      </c>
      <c r="G265">
        <v>80079.521999999997</v>
      </c>
      <c r="H265">
        <v>80581.017000000007</v>
      </c>
      <c r="I265">
        <v>76989.391000000003</v>
      </c>
      <c r="J265">
        <v>70862.471000000005</v>
      </c>
      <c r="K265">
        <v>70890.925000000003</v>
      </c>
      <c r="L265">
        <v>68159.683999999994</v>
      </c>
      <c r="M265">
        <v>71047.202000000005</v>
      </c>
      <c r="N265">
        <v>67733.919999999998</v>
      </c>
      <c r="O265">
        <v>69164.937000000005</v>
      </c>
      <c r="P265">
        <v>66055.335999999996</v>
      </c>
      <c r="Q265">
        <v>60576.061000000002</v>
      </c>
      <c r="R265">
        <v>55982.635000000002</v>
      </c>
      <c r="S265">
        <v>52775.07</v>
      </c>
      <c r="T265">
        <v>49068.997000000003</v>
      </c>
      <c r="U265">
        <v>43397.016000000003</v>
      </c>
      <c r="V265">
        <v>36461.042000000001</v>
      </c>
      <c r="W265">
        <v>33335.506000000001</v>
      </c>
      <c r="X265">
        <v>31906.396000000001</v>
      </c>
      <c r="Y265">
        <v>29158.226999999999</v>
      </c>
      <c r="Z265">
        <v>26821.948</v>
      </c>
      <c r="AA265">
        <v>26324.244999999999</v>
      </c>
      <c r="AB265">
        <v>25314.785</v>
      </c>
      <c r="AC265">
        <v>23792.846000000001</v>
      </c>
      <c r="AD265">
        <v>23109.486000000001</v>
      </c>
      <c r="AE265">
        <v>22176.147000000001</v>
      </c>
      <c r="AF265">
        <v>21367.452000000001</v>
      </c>
      <c r="AG265">
        <v>20760.731</v>
      </c>
      <c r="AH265">
        <v>20329.084999999999</v>
      </c>
      <c r="AI265">
        <v>19922.221000000001</v>
      </c>
      <c r="AJ265">
        <v>18844.744999999999</v>
      </c>
      <c r="AK265">
        <v>18122.506000000001</v>
      </c>
      <c r="AL265">
        <v>17200.842000000001</v>
      </c>
      <c r="AM265">
        <v>17042.601999999999</v>
      </c>
      <c r="AN265">
        <v>16728.767</v>
      </c>
      <c r="AO265">
        <v>15248.039000000001</v>
      </c>
      <c r="AP265">
        <v>14275.089</v>
      </c>
      <c r="AQ265">
        <v>13955.57</v>
      </c>
      <c r="AR265">
        <v>13470.103999999999</v>
      </c>
      <c r="AS265">
        <v>11251.942999999999</v>
      </c>
      <c r="AT265">
        <v>10600.498</v>
      </c>
      <c r="AU265">
        <v>10288.824000000001</v>
      </c>
      <c r="AV265">
        <v>10023.587</v>
      </c>
      <c r="AW265">
        <v>9746.6239999999998</v>
      </c>
      <c r="AX265">
        <v>9307.0949999999993</v>
      </c>
      <c r="AY265">
        <v>8921.4290000000001</v>
      </c>
      <c r="AZ265">
        <v>8593.6839999999993</v>
      </c>
      <c r="BA265">
        <v>8174.1040000000003</v>
      </c>
      <c r="BB265">
        <v>7622.6369999999997</v>
      </c>
      <c r="BC265">
        <v>7403.6030000000001</v>
      </c>
      <c r="BD265">
        <v>7163.5720000000001</v>
      </c>
      <c r="BE265">
        <v>6925.2920000000004</v>
      </c>
      <c r="BF265">
        <v>6844.5410000000002</v>
      </c>
      <c r="BG265">
        <v>6545.89</v>
      </c>
      <c r="BH265">
        <v>6508.0889999999999</v>
      </c>
      <c r="BI265">
        <v>6404.8360000000002</v>
      </c>
      <c r="BJ265">
        <v>6193.8829999999998</v>
      </c>
      <c r="BK265">
        <v>6179.1459999999997</v>
      </c>
      <c r="BL265">
        <v>5959.4790000000003</v>
      </c>
      <c r="BM265">
        <v>6096.2380000000003</v>
      </c>
      <c r="BN265" t="str">
        <f>""</f>
        <v/>
      </c>
      <c r="BO265" t="str">
        <f>""</f>
        <v/>
      </c>
      <c r="BP265" t="str">
        <f>""</f>
        <v/>
      </c>
      <c r="BQ265" t="str">
        <f>""</f>
        <v/>
      </c>
      <c r="BR265" t="str">
        <f>""</f>
        <v/>
      </c>
      <c r="BS265" t="str">
        <f>""</f>
        <v/>
      </c>
      <c r="BT265" t="str">
        <f>""</f>
        <v/>
      </c>
      <c r="BU265" t="str">
        <f>""</f>
        <v/>
      </c>
      <c r="BV265" t="str">
        <f>""</f>
        <v/>
      </c>
      <c r="BW265" t="str">
        <f>""</f>
        <v/>
      </c>
      <c r="BX265" t="str">
        <f>""</f>
        <v/>
      </c>
      <c r="BY265" t="str">
        <f>""</f>
        <v/>
      </c>
      <c r="BZ265" t="str">
        <f>""</f>
        <v/>
      </c>
      <c r="CA265" t="str">
        <f>""</f>
        <v/>
      </c>
      <c r="CB265" t="str">
        <f>""</f>
        <v/>
      </c>
      <c r="CC265" t="str">
        <f>""</f>
        <v/>
      </c>
      <c r="CD265" t="str">
        <f>""</f>
        <v/>
      </c>
      <c r="CE265" t="str">
        <f>""</f>
        <v/>
      </c>
      <c r="CF265" t="str">
        <f>""</f>
        <v/>
      </c>
      <c r="CG265" t="str">
        <f>""</f>
        <v/>
      </c>
      <c r="CH265" t="str">
        <f>""</f>
        <v/>
      </c>
      <c r="CI265" t="str">
        <f>""</f>
        <v/>
      </c>
      <c r="CJ265" t="str">
        <f>""</f>
        <v/>
      </c>
      <c r="CK265" t="str">
        <f>""</f>
        <v/>
      </c>
      <c r="CL265" t="str">
        <f>""</f>
        <v/>
      </c>
      <c r="CM265" t="str">
        <f>""</f>
        <v/>
      </c>
      <c r="CN265" t="str">
        <f>""</f>
        <v/>
      </c>
      <c r="CO265" t="str">
        <f>""</f>
        <v/>
      </c>
      <c r="CP265" t="str">
        <f>""</f>
        <v/>
      </c>
      <c r="CQ265" t="str">
        <f>""</f>
        <v/>
      </c>
      <c r="CR265" t="str">
        <f>""</f>
        <v/>
      </c>
      <c r="CS265" t="str">
        <f>""</f>
        <v/>
      </c>
      <c r="CT265" t="str">
        <f>""</f>
        <v/>
      </c>
      <c r="CU265" t="str">
        <f>""</f>
        <v/>
      </c>
      <c r="CV265" t="str">
        <f>""</f>
        <v/>
      </c>
      <c r="CW265" t="str">
        <f>""</f>
        <v/>
      </c>
      <c r="CX265" t="str">
        <f>""</f>
        <v/>
      </c>
      <c r="CY265" t="str">
        <f>""</f>
        <v/>
      </c>
      <c r="CZ265" t="str">
        <f>""</f>
        <v/>
      </c>
      <c r="DA265" t="str">
        <f>""</f>
        <v/>
      </c>
      <c r="DB265" t="str">
        <f>""</f>
        <v/>
      </c>
      <c r="DC265" t="str">
        <f>""</f>
        <v/>
      </c>
      <c r="DD265" t="str">
        <f>""</f>
        <v/>
      </c>
      <c r="DE265" t="str">
        <f>""</f>
        <v/>
      </c>
      <c r="DF265" t="str">
        <f>""</f>
        <v/>
      </c>
      <c r="DG265" t="str">
        <f>""</f>
        <v/>
      </c>
      <c r="DH265" t="str">
        <f>""</f>
        <v/>
      </c>
      <c r="DI265" t="str">
        <f>""</f>
        <v/>
      </c>
      <c r="DJ265" t="str">
        <f>""</f>
        <v/>
      </c>
      <c r="DK265" t="str">
        <f>""</f>
        <v/>
      </c>
      <c r="DL265" t="str">
        <f>""</f>
        <v/>
      </c>
      <c r="DM265" t="str">
        <f>""</f>
        <v/>
      </c>
      <c r="DN265" t="str">
        <f>""</f>
        <v/>
      </c>
      <c r="DO265" t="str">
        <f>""</f>
        <v/>
      </c>
      <c r="DP265" t="str">
        <f>""</f>
        <v/>
      </c>
      <c r="DQ265" t="str">
        <f>""</f>
        <v/>
      </c>
      <c r="DR265" t="str">
        <f>""</f>
        <v/>
      </c>
      <c r="DS265" t="str">
        <f>""</f>
        <v/>
      </c>
      <c r="DT265" t="str">
        <f>""</f>
        <v/>
      </c>
      <c r="DU265" t="str">
        <f>""</f>
        <v/>
      </c>
    </row>
    <row r="266" spans="1:125" x14ac:dyDescent="0.25">
      <c r="A266" t="str">
        <f>$A$129</f>
        <v xml:space="preserve">            Zions Bancorp NA</v>
      </c>
      <c r="B266" t="str">
        <f>$B$129</f>
        <v>ZION US Equity</v>
      </c>
      <c r="C266" t="str">
        <f>$C$129</f>
        <v>FC001</v>
      </c>
      <c r="D266" t="str">
        <f>$D$129</f>
        <v>FDIC_TOTAL_ASSETS</v>
      </c>
      <c r="E266" t="str">
        <f>$E$129</f>
        <v>Dynamic</v>
      </c>
      <c r="F266">
        <f ca="1">_xll.BDH($B$129,$C$129,$B$143,$B$144,CONCATENATE("Per=",$B$141),"Dts=H","Dir=H",CONCATENATE("Points=",$B$142),"Sort=R","Days=A","Fill=B",CONCATENATE("FX=", $B$140),"cols=60;rows=1")</f>
        <v>88774.720000000001</v>
      </c>
      <c r="G266">
        <v>87032.467000000004</v>
      </c>
      <c r="H266">
        <v>87605.789000000004</v>
      </c>
      <c r="I266">
        <v>87060.372000000003</v>
      </c>
      <c r="J266">
        <v>87202.697</v>
      </c>
      <c r="K266">
        <v>87269.125</v>
      </c>
      <c r="L266">
        <v>87230.273000000001</v>
      </c>
      <c r="M266">
        <v>88573.532999999996</v>
      </c>
      <c r="N266">
        <v>89544.918999999994</v>
      </c>
      <c r="O266">
        <v>88474.569000000003</v>
      </c>
      <c r="P266">
        <v>87783.903000000006</v>
      </c>
      <c r="Q266">
        <v>91125.751000000004</v>
      </c>
      <c r="R266">
        <v>93199.668999999994</v>
      </c>
      <c r="S266">
        <v>88306.255999999994</v>
      </c>
      <c r="T266">
        <v>87208.406000000003</v>
      </c>
      <c r="U266">
        <v>85120.865999999995</v>
      </c>
      <c r="Y266">
        <v>71466.849000000002</v>
      </c>
      <c r="BN266" t="str">
        <f>""</f>
        <v/>
      </c>
      <c r="BO266" t="str">
        <f>""</f>
        <v/>
      </c>
      <c r="BP266" t="str">
        <f>""</f>
        <v/>
      </c>
      <c r="BQ266" t="str">
        <f>""</f>
        <v/>
      </c>
      <c r="BR266" t="str">
        <f>""</f>
        <v/>
      </c>
      <c r="BS266" t="str">
        <f>""</f>
        <v/>
      </c>
      <c r="BT266" t="str">
        <f>""</f>
        <v/>
      </c>
      <c r="BU266" t="str">
        <f>""</f>
        <v/>
      </c>
      <c r="BV266" t="str">
        <f>""</f>
        <v/>
      </c>
      <c r="BW266" t="str">
        <f>""</f>
        <v/>
      </c>
      <c r="BX266" t="str">
        <f>""</f>
        <v/>
      </c>
      <c r="BY266" t="str">
        <f>""</f>
        <v/>
      </c>
      <c r="BZ266" t="str">
        <f>""</f>
        <v/>
      </c>
      <c r="CA266" t="str">
        <f>""</f>
        <v/>
      </c>
      <c r="CB266" t="str">
        <f>""</f>
        <v/>
      </c>
      <c r="CC266" t="str">
        <f>""</f>
        <v/>
      </c>
      <c r="CD266" t="str">
        <f>""</f>
        <v/>
      </c>
      <c r="CE266" t="str">
        <f>""</f>
        <v/>
      </c>
      <c r="CF266" t="str">
        <f>""</f>
        <v/>
      </c>
      <c r="CG266" t="str">
        <f>""</f>
        <v/>
      </c>
      <c r="CH266" t="str">
        <f>""</f>
        <v/>
      </c>
      <c r="CI266" t="str">
        <f>""</f>
        <v/>
      </c>
      <c r="CJ266" t="str">
        <f>""</f>
        <v/>
      </c>
      <c r="CK266" t="str">
        <f>""</f>
        <v/>
      </c>
      <c r="CL266" t="str">
        <f>""</f>
        <v/>
      </c>
      <c r="CM266" t="str">
        <f>""</f>
        <v/>
      </c>
      <c r="CN266" t="str">
        <f>""</f>
        <v/>
      </c>
      <c r="CO266" t="str">
        <f>""</f>
        <v/>
      </c>
      <c r="CP266" t="str">
        <f>""</f>
        <v/>
      </c>
      <c r="CQ266" t="str">
        <f>""</f>
        <v/>
      </c>
      <c r="CR266" t="str">
        <f>""</f>
        <v/>
      </c>
      <c r="CS266" t="str">
        <f>""</f>
        <v/>
      </c>
      <c r="CT266" t="str">
        <f>""</f>
        <v/>
      </c>
      <c r="CU266" t="str">
        <f>""</f>
        <v/>
      </c>
      <c r="CV266" t="str">
        <f>""</f>
        <v/>
      </c>
      <c r="CW266" t="str">
        <f>""</f>
        <v/>
      </c>
      <c r="CX266" t="str">
        <f>""</f>
        <v/>
      </c>
      <c r="CY266" t="str">
        <f>""</f>
        <v/>
      </c>
      <c r="CZ266" t="str">
        <f>""</f>
        <v/>
      </c>
      <c r="DA266" t="str">
        <f>""</f>
        <v/>
      </c>
      <c r="DB266" t="str">
        <f>""</f>
        <v/>
      </c>
      <c r="DC266" t="str">
        <f>""</f>
        <v/>
      </c>
      <c r="DD266" t="str">
        <f>""</f>
        <v/>
      </c>
      <c r="DE266" t="str">
        <f>""</f>
        <v/>
      </c>
      <c r="DF266" t="str">
        <f>""</f>
        <v/>
      </c>
      <c r="DG266" t="str">
        <f>""</f>
        <v/>
      </c>
      <c r="DH266" t="str">
        <f>""</f>
        <v/>
      </c>
      <c r="DI266" t="str">
        <f>""</f>
        <v/>
      </c>
      <c r="DJ266" t="str">
        <f>""</f>
        <v/>
      </c>
      <c r="DK266" t="str">
        <f>""</f>
        <v/>
      </c>
      <c r="DL266" t="str">
        <f>""</f>
        <v/>
      </c>
      <c r="DM266" t="str">
        <f>""</f>
        <v/>
      </c>
      <c r="DN266" t="str">
        <f>""</f>
        <v/>
      </c>
      <c r="DO266" t="str">
        <f>""</f>
        <v/>
      </c>
      <c r="DP266" t="str">
        <f>""</f>
        <v/>
      </c>
      <c r="DQ266" t="str">
        <f>""</f>
        <v/>
      </c>
      <c r="DR266" t="str">
        <f>""</f>
        <v/>
      </c>
      <c r="DS266" t="str">
        <f>""</f>
        <v/>
      </c>
      <c r="DT266" t="str">
        <f>""</f>
        <v/>
      </c>
      <c r="DU266" t="str">
        <f>""</f>
        <v/>
      </c>
    </row>
    <row r="267" spans="1:125" x14ac:dyDescent="0.25">
      <c r="A267" t="str">
        <f>""</f>
        <v/>
      </c>
      <c r="B267" t="str">
        <f>""</f>
        <v/>
      </c>
      <c r="C267" t="str">
        <f>""</f>
        <v/>
      </c>
      <c r="D267" t="str">
        <f>""</f>
        <v/>
      </c>
      <c r="E267" t="str">
        <f>""</f>
        <v/>
      </c>
      <c r="BN267" t="str">
        <f>""</f>
        <v/>
      </c>
      <c r="BO267" t="str">
        <f>""</f>
        <v/>
      </c>
      <c r="BP267" t="str">
        <f>""</f>
        <v/>
      </c>
      <c r="BQ267" t="str">
        <f>""</f>
        <v/>
      </c>
      <c r="BR267" t="str">
        <f>""</f>
        <v/>
      </c>
      <c r="BS267" t="str">
        <f>""</f>
        <v/>
      </c>
      <c r="BT267" t="str">
        <f>""</f>
        <v/>
      </c>
      <c r="BU267" t="str">
        <f>""</f>
        <v/>
      </c>
      <c r="BV267" t="str">
        <f>""</f>
        <v/>
      </c>
      <c r="BW267" t="str">
        <f>""</f>
        <v/>
      </c>
      <c r="BX267" t="str">
        <f>""</f>
        <v/>
      </c>
      <c r="BY267" t="str">
        <f>""</f>
        <v/>
      </c>
      <c r="BZ267" t="str">
        <f>""</f>
        <v/>
      </c>
      <c r="CA267" t="str">
        <f>""</f>
        <v/>
      </c>
      <c r="CB267" t="str">
        <f>""</f>
        <v/>
      </c>
      <c r="CC267" t="str">
        <f>""</f>
        <v/>
      </c>
      <c r="CD267" t="str">
        <f>""</f>
        <v/>
      </c>
      <c r="CE267" t="str">
        <f>""</f>
        <v/>
      </c>
      <c r="CF267" t="str">
        <f>""</f>
        <v/>
      </c>
      <c r="CG267" t="str">
        <f>""</f>
        <v/>
      </c>
      <c r="CH267" t="str">
        <f>""</f>
        <v/>
      </c>
      <c r="CI267" t="str">
        <f>""</f>
        <v/>
      </c>
      <c r="CJ267" t="str">
        <f>""</f>
        <v/>
      </c>
      <c r="CK267" t="str">
        <f>""</f>
        <v/>
      </c>
      <c r="CL267" t="str">
        <f>""</f>
        <v/>
      </c>
      <c r="CM267" t="str">
        <f>""</f>
        <v/>
      </c>
      <c r="CN267" t="str">
        <f>""</f>
        <v/>
      </c>
      <c r="CO267" t="str">
        <f>""</f>
        <v/>
      </c>
      <c r="CP267" t="str">
        <f>""</f>
        <v/>
      </c>
      <c r="CQ267" t="str">
        <f>""</f>
        <v/>
      </c>
      <c r="CR267" t="str">
        <f>""</f>
        <v/>
      </c>
      <c r="CS267" t="str">
        <f>""</f>
        <v/>
      </c>
      <c r="CT267" t="str">
        <f>""</f>
        <v/>
      </c>
      <c r="CU267" t="str">
        <f>""</f>
        <v/>
      </c>
      <c r="CV267" t="str">
        <f>""</f>
        <v/>
      </c>
      <c r="CW267" t="str">
        <f>""</f>
        <v/>
      </c>
      <c r="CX267" t="str">
        <f>""</f>
        <v/>
      </c>
      <c r="CY267" t="str">
        <f>""</f>
        <v/>
      </c>
      <c r="CZ267" t="str">
        <f>""</f>
        <v/>
      </c>
      <c r="DA267" t="str">
        <f>""</f>
        <v/>
      </c>
      <c r="DB267" t="str">
        <f>""</f>
        <v/>
      </c>
      <c r="DC267" t="str">
        <f>""</f>
        <v/>
      </c>
      <c r="DD267" t="str">
        <f>""</f>
        <v/>
      </c>
      <c r="DE267" t="str">
        <f>""</f>
        <v/>
      </c>
      <c r="DF267" t="str">
        <f>""</f>
        <v/>
      </c>
      <c r="DG267" t="str">
        <f>""</f>
        <v/>
      </c>
      <c r="DH267" t="str">
        <f>""</f>
        <v/>
      </c>
      <c r="DI267" t="str">
        <f>""</f>
        <v/>
      </c>
      <c r="DJ267" t="str">
        <f>""</f>
        <v/>
      </c>
      <c r="DK267" t="str">
        <f>""</f>
        <v/>
      </c>
      <c r="DL267" t="str">
        <f>""</f>
        <v/>
      </c>
      <c r="DM267" t="str">
        <f>""</f>
        <v/>
      </c>
      <c r="DN267" t="str">
        <f>""</f>
        <v/>
      </c>
      <c r="DO267" t="str">
        <f>""</f>
        <v/>
      </c>
      <c r="DP267" t="str">
        <f>""</f>
        <v/>
      </c>
      <c r="DQ267" t="str">
        <f>""</f>
        <v/>
      </c>
      <c r="DR267" t="str">
        <f>""</f>
        <v/>
      </c>
      <c r="DS267" t="str">
        <f>""</f>
        <v/>
      </c>
      <c r="DT267" t="str">
        <f>""</f>
        <v/>
      </c>
      <c r="DU267" t="str">
        <f>""</f>
        <v/>
      </c>
    </row>
    <row r="268" spans="1:125" x14ac:dyDescent="0.25">
      <c r="A268" t="str">
        <f>""</f>
        <v/>
      </c>
      <c r="B268" t="str">
        <f>""</f>
        <v/>
      </c>
      <c r="C268" t="str">
        <f>""</f>
        <v/>
      </c>
      <c r="D268" t="str">
        <f>""</f>
        <v/>
      </c>
      <c r="E268" t="str">
        <f>""</f>
        <v/>
      </c>
      <c r="BN268" t="str">
        <f>""</f>
        <v/>
      </c>
      <c r="BO268" t="str">
        <f>""</f>
        <v/>
      </c>
      <c r="BP268" t="str">
        <f>""</f>
        <v/>
      </c>
      <c r="BQ268" t="str">
        <f>""</f>
        <v/>
      </c>
      <c r="BR268" t="str">
        <f>""</f>
        <v/>
      </c>
      <c r="BS268" t="str">
        <f>""</f>
        <v/>
      </c>
      <c r="BT268" t="str">
        <f>""</f>
        <v/>
      </c>
      <c r="BU268" t="str">
        <f>""</f>
        <v/>
      </c>
      <c r="BV268" t="str">
        <f>""</f>
        <v/>
      </c>
      <c r="BW268" t="str">
        <f>""</f>
        <v/>
      </c>
      <c r="BX268" t="str">
        <f>""</f>
        <v/>
      </c>
      <c r="BY268" t="str">
        <f>""</f>
        <v/>
      </c>
      <c r="BZ268" t="str">
        <f>""</f>
        <v/>
      </c>
      <c r="CA268" t="str">
        <f>""</f>
        <v/>
      </c>
      <c r="CB268" t="str">
        <f>""</f>
        <v/>
      </c>
      <c r="CC268" t="str">
        <f>""</f>
        <v/>
      </c>
      <c r="CD268" t="str">
        <f>""</f>
        <v/>
      </c>
      <c r="CE268" t="str">
        <f>""</f>
        <v/>
      </c>
      <c r="CF268" t="str">
        <f>""</f>
        <v/>
      </c>
      <c r="CG268" t="str">
        <f>""</f>
        <v/>
      </c>
      <c r="CH268" t="str">
        <f>""</f>
        <v/>
      </c>
      <c r="CI268" t="str">
        <f>""</f>
        <v/>
      </c>
      <c r="CJ268" t="str">
        <f>""</f>
        <v/>
      </c>
      <c r="CK268" t="str">
        <f>""</f>
        <v/>
      </c>
      <c r="CL268" t="str">
        <f>""</f>
        <v/>
      </c>
      <c r="CM268" t="str">
        <f>""</f>
        <v/>
      </c>
      <c r="CN268" t="str">
        <f>""</f>
        <v/>
      </c>
      <c r="CO268" t="str">
        <f>""</f>
        <v/>
      </c>
      <c r="CP268" t="str">
        <f>""</f>
        <v/>
      </c>
      <c r="CQ268" t="str">
        <f>""</f>
        <v/>
      </c>
      <c r="CR268" t="str">
        <f>""</f>
        <v/>
      </c>
      <c r="CS268" t="str">
        <f>""</f>
        <v/>
      </c>
      <c r="CT268" t="str">
        <f>""</f>
        <v/>
      </c>
      <c r="CU268" t="str">
        <f>""</f>
        <v/>
      </c>
      <c r="CV268" t="str">
        <f>""</f>
        <v/>
      </c>
      <c r="CW268" t="str">
        <f>""</f>
        <v/>
      </c>
      <c r="CX268" t="str">
        <f>""</f>
        <v/>
      </c>
      <c r="CY268" t="str">
        <f>""</f>
        <v/>
      </c>
      <c r="CZ268" t="str">
        <f>""</f>
        <v/>
      </c>
      <c r="DA268" t="str">
        <f>""</f>
        <v/>
      </c>
      <c r="DB268" t="str">
        <f>""</f>
        <v/>
      </c>
      <c r="DC268" t="str">
        <f>""</f>
        <v/>
      </c>
      <c r="DD268" t="str">
        <f>""</f>
        <v/>
      </c>
      <c r="DE268" t="str">
        <f>""</f>
        <v/>
      </c>
      <c r="DF268" t="str">
        <f>""</f>
        <v/>
      </c>
      <c r="DG268" t="str">
        <f>""</f>
        <v/>
      </c>
      <c r="DH268" t="str">
        <f>""</f>
        <v/>
      </c>
      <c r="DI268" t="str">
        <f>""</f>
        <v/>
      </c>
      <c r="DJ268" t="str">
        <f>""</f>
        <v/>
      </c>
      <c r="DK268" t="str">
        <f>""</f>
        <v/>
      </c>
      <c r="DL268" t="str">
        <f>""</f>
        <v/>
      </c>
      <c r="DM268" t="str">
        <f>""</f>
        <v/>
      </c>
      <c r="DN268" t="str">
        <f>""</f>
        <v/>
      </c>
      <c r="DO268" t="str">
        <f>""</f>
        <v/>
      </c>
      <c r="DP268" t="str">
        <f>""</f>
        <v/>
      </c>
      <c r="DQ268" t="str">
        <f>""</f>
        <v/>
      </c>
      <c r="DR268" t="str">
        <f>""</f>
        <v/>
      </c>
      <c r="DS268" t="str">
        <f>""</f>
        <v/>
      </c>
      <c r="DT268" t="str">
        <f>""</f>
        <v/>
      </c>
      <c r="DU268" t="str">
        <f>""</f>
        <v/>
      </c>
    </row>
    <row r="269" spans="1:125" x14ac:dyDescent="0.25">
      <c r="A269" t="str">
        <f>""</f>
        <v/>
      </c>
      <c r="B269" t="str">
        <f>""</f>
        <v/>
      </c>
      <c r="C269" t="str">
        <f>""</f>
        <v/>
      </c>
      <c r="D269" t="str">
        <f>""</f>
        <v/>
      </c>
      <c r="E269" t="str">
        <f>""</f>
        <v/>
      </c>
      <c r="BN269" t="str">
        <f>""</f>
        <v/>
      </c>
      <c r="BO269" t="str">
        <f>""</f>
        <v/>
      </c>
      <c r="BP269" t="str">
        <f>""</f>
        <v/>
      </c>
      <c r="BQ269" t="str">
        <f>""</f>
        <v/>
      </c>
      <c r="BR269" t="str">
        <f>""</f>
        <v/>
      </c>
      <c r="BS269" t="str">
        <f>""</f>
        <v/>
      </c>
      <c r="BT269" t="str">
        <f>""</f>
        <v/>
      </c>
      <c r="BU269" t="str">
        <f>""</f>
        <v/>
      </c>
      <c r="BV269" t="str">
        <f>""</f>
        <v/>
      </c>
      <c r="BW269" t="str">
        <f>""</f>
        <v/>
      </c>
      <c r="BX269" t="str">
        <f>""</f>
        <v/>
      </c>
      <c r="BY269" t="str">
        <f>""</f>
        <v/>
      </c>
      <c r="BZ269" t="str">
        <f>""</f>
        <v/>
      </c>
      <c r="CA269" t="str">
        <f>""</f>
        <v/>
      </c>
      <c r="CB269" t="str">
        <f>""</f>
        <v/>
      </c>
      <c r="CC269" t="str">
        <f>""</f>
        <v/>
      </c>
      <c r="CD269" t="str">
        <f>""</f>
        <v/>
      </c>
      <c r="CE269" t="str">
        <f>""</f>
        <v/>
      </c>
      <c r="CF269" t="str">
        <f>""</f>
        <v/>
      </c>
      <c r="CG269" t="str">
        <f>""</f>
        <v/>
      </c>
      <c r="CH269" t="str">
        <f>""</f>
        <v/>
      </c>
      <c r="CI269" t="str">
        <f>""</f>
        <v/>
      </c>
      <c r="CJ269" t="str">
        <f>""</f>
        <v/>
      </c>
      <c r="CK269" t="str">
        <f>""</f>
        <v/>
      </c>
      <c r="CL269" t="str">
        <f>""</f>
        <v/>
      </c>
      <c r="CM269" t="str">
        <f>""</f>
        <v/>
      </c>
      <c r="CN269" t="str">
        <f>""</f>
        <v/>
      </c>
      <c r="CO269" t="str">
        <f>""</f>
        <v/>
      </c>
      <c r="CP269" t="str">
        <f>""</f>
        <v/>
      </c>
      <c r="CQ269" t="str">
        <f>""</f>
        <v/>
      </c>
      <c r="CR269" t="str">
        <f>""</f>
        <v/>
      </c>
      <c r="CS269" t="str">
        <f>""</f>
        <v/>
      </c>
      <c r="CT269" t="str">
        <f>""</f>
        <v/>
      </c>
      <c r="CU269" t="str">
        <f>""</f>
        <v/>
      </c>
      <c r="CV269" t="str">
        <f>""</f>
        <v/>
      </c>
      <c r="CW269" t="str">
        <f>""</f>
        <v/>
      </c>
      <c r="CX269" t="str">
        <f>""</f>
        <v/>
      </c>
      <c r="CY269" t="str">
        <f>""</f>
        <v/>
      </c>
      <c r="CZ269" t="str">
        <f>""</f>
        <v/>
      </c>
      <c r="DA269" t="str">
        <f>""</f>
        <v/>
      </c>
      <c r="DB269" t="str">
        <f>""</f>
        <v/>
      </c>
      <c r="DC269" t="str">
        <f>""</f>
        <v/>
      </c>
      <c r="DD269" t="str">
        <f>""</f>
        <v/>
      </c>
      <c r="DE269" t="str">
        <f>""</f>
        <v/>
      </c>
      <c r="DF269" t="str">
        <f>""</f>
        <v/>
      </c>
      <c r="DG269" t="str">
        <f>""</f>
        <v/>
      </c>
      <c r="DH269" t="str">
        <f>""</f>
        <v/>
      </c>
      <c r="DI269" t="str">
        <f>""</f>
        <v/>
      </c>
      <c r="DJ269" t="str">
        <f>""</f>
        <v/>
      </c>
      <c r="DK269" t="str">
        <f>""</f>
        <v/>
      </c>
      <c r="DL269" t="str">
        <f>""</f>
        <v/>
      </c>
      <c r="DM269" t="str">
        <f>""</f>
        <v/>
      </c>
      <c r="DN269" t="str">
        <f>""</f>
        <v/>
      </c>
      <c r="DO269" t="str">
        <f>""</f>
        <v/>
      </c>
      <c r="DP269" t="str">
        <f>""</f>
        <v/>
      </c>
      <c r="DQ269" t="str">
        <f>""</f>
        <v/>
      </c>
      <c r="DR269" t="str">
        <f>""</f>
        <v/>
      </c>
      <c r="DS269" t="str">
        <f>""</f>
        <v/>
      </c>
      <c r="DT269" t="str">
        <f>""</f>
        <v/>
      </c>
      <c r="DU269" t="str">
        <f>""</f>
        <v/>
      </c>
    </row>
    <row r="270" spans="1:125" x14ac:dyDescent="0.25">
      <c r="A270" t="str">
        <f>""</f>
        <v/>
      </c>
      <c r="B270" t="str">
        <f>""</f>
        <v/>
      </c>
      <c r="C270" t="str">
        <f>""</f>
        <v/>
      </c>
      <c r="D270" t="str">
        <f>""</f>
        <v/>
      </c>
      <c r="E270" t="str">
        <f>""</f>
        <v/>
      </c>
      <c r="BN270" t="str">
        <f>""</f>
        <v/>
      </c>
      <c r="BO270" t="str">
        <f>""</f>
        <v/>
      </c>
      <c r="BP270" t="str">
        <f>""</f>
        <v/>
      </c>
      <c r="BQ270" t="str">
        <f>""</f>
        <v/>
      </c>
      <c r="BR270" t="str">
        <f>""</f>
        <v/>
      </c>
      <c r="BS270" t="str">
        <f>""</f>
        <v/>
      </c>
      <c r="BT270" t="str">
        <f>""</f>
        <v/>
      </c>
      <c r="BU270" t="str">
        <f>""</f>
        <v/>
      </c>
      <c r="BV270" t="str">
        <f>""</f>
        <v/>
      </c>
      <c r="BW270" t="str">
        <f>""</f>
        <v/>
      </c>
      <c r="BX270" t="str">
        <f>""</f>
        <v/>
      </c>
      <c r="BY270" t="str">
        <f>""</f>
        <v/>
      </c>
      <c r="BZ270" t="str">
        <f>""</f>
        <v/>
      </c>
      <c r="CA270" t="str">
        <f>""</f>
        <v/>
      </c>
      <c r="CB270" t="str">
        <f>""</f>
        <v/>
      </c>
      <c r="CC270" t="str">
        <f>""</f>
        <v/>
      </c>
      <c r="CD270" t="str">
        <f>""</f>
        <v/>
      </c>
      <c r="CE270" t="str">
        <f>""</f>
        <v/>
      </c>
      <c r="CF270" t="str">
        <f>""</f>
        <v/>
      </c>
      <c r="CG270" t="str">
        <f>""</f>
        <v/>
      </c>
      <c r="CH270" t="str">
        <f>""</f>
        <v/>
      </c>
      <c r="CI270" t="str">
        <f>""</f>
        <v/>
      </c>
      <c r="CJ270" t="str">
        <f>""</f>
        <v/>
      </c>
      <c r="CK270" t="str">
        <f>""</f>
        <v/>
      </c>
      <c r="CL270" t="str">
        <f>""</f>
        <v/>
      </c>
      <c r="CM270" t="str">
        <f>""</f>
        <v/>
      </c>
      <c r="CN270" t="str">
        <f>""</f>
        <v/>
      </c>
      <c r="CO270" t="str">
        <f>""</f>
        <v/>
      </c>
      <c r="CP270" t="str">
        <f>""</f>
        <v/>
      </c>
      <c r="CQ270" t="str">
        <f>""</f>
        <v/>
      </c>
      <c r="CR270" t="str">
        <f>""</f>
        <v/>
      </c>
      <c r="CS270" t="str">
        <f>""</f>
        <v/>
      </c>
      <c r="CT270" t="str">
        <f>""</f>
        <v/>
      </c>
      <c r="CU270" t="str">
        <f>""</f>
        <v/>
      </c>
      <c r="CV270" t="str">
        <f>""</f>
        <v/>
      </c>
      <c r="CW270" t="str">
        <f>""</f>
        <v/>
      </c>
      <c r="CX270" t="str">
        <f>""</f>
        <v/>
      </c>
      <c r="CY270" t="str">
        <f>""</f>
        <v/>
      </c>
      <c r="CZ270" t="str">
        <f>""</f>
        <v/>
      </c>
      <c r="DA270" t="str">
        <f>""</f>
        <v/>
      </c>
      <c r="DB270" t="str">
        <f>""</f>
        <v/>
      </c>
      <c r="DC270" t="str">
        <f>""</f>
        <v/>
      </c>
      <c r="DD270" t="str">
        <f>""</f>
        <v/>
      </c>
      <c r="DE270" t="str">
        <f>""</f>
        <v/>
      </c>
      <c r="DF270" t="str">
        <f>""</f>
        <v/>
      </c>
      <c r="DG270" t="str">
        <f>""</f>
        <v/>
      </c>
      <c r="DH270" t="str">
        <f>""</f>
        <v/>
      </c>
      <c r="DI270" t="str">
        <f>""</f>
        <v/>
      </c>
      <c r="DJ270" t="str">
        <f>""</f>
        <v/>
      </c>
      <c r="DK270" t="str">
        <f>""</f>
        <v/>
      </c>
      <c r="DL270" t="str">
        <f>""</f>
        <v/>
      </c>
      <c r="DM270" t="str">
        <f>""</f>
        <v/>
      </c>
      <c r="DN270" t="str">
        <f>""</f>
        <v/>
      </c>
      <c r="DO270" t="str">
        <f>""</f>
        <v/>
      </c>
      <c r="DP270" t="str">
        <f>""</f>
        <v/>
      </c>
      <c r="DQ270" t="str">
        <f>""</f>
        <v/>
      </c>
      <c r="DR270" t="str">
        <f>""</f>
        <v/>
      </c>
      <c r="DS270" t="str">
        <f>""</f>
        <v/>
      </c>
      <c r="DT270" t="str">
        <f>""</f>
        <v/>
      </c>
      <c r="DU270" t="str">
        <f>""</f>
        <v/>
      </c>
    </row>
    <row r="271" spans="1:125" x14ac:dyDescent="0.25">
      <c r="A271" t="str">
        <f>""</f>
        <v/>
      </c>
      <c r="B271" t="str">
        <f>""</f>
        <v/>
      </c>
      <c r="C271" t="str">
        <f>""</f>
        <v/>
      </c>
      <c r="D271" t="str">
        <f>""</f>
        <v/>
      </c>
      <c r="E271" t="str">
        <f>""</f>
        <v/>
      </c>
      <c r="BN271" t="str">
        <f>""</f>
        <v/>
      </c>
      <c r="BO271" t="str">
        <f>""</f>
        <v/>
      </c>
      <c r="BP271" t="str">
        <f>""</f>
        <v/>
      </c>
      <c r="BQ271" t="str">
        <f>""</f>
        <v/>
      </c>
      <c r="BR271" t="str">
        <f>""</f>
        <v/>
      </c>
      <c r="BS271" t="str">
        <f>""</f>
        <v/>
      </c>
      <c r="BT271" t="str">
        <f>""</f>
        <v/>
      </c>
      <c r="BU271" t="str">
        <f>""</f>
        <v/>
      </c>
      <c r="BV271" t="str">
        <f>""</f>
        <v/>
      </c>
      <c r="BW271" t="str">
        <f>""</f>
        <v/>
      </c>
      <c r="BX271" t="str">
        <f>""</f>
        <v/>
      </c>
      <c r="BY271" t="str">
        <f>""</f>
        <v/>
      </c>
      <c r="BZ271" t="str">
        <f>""</f>
        <v/>
      </c>
      <c r="CA271" t="str">
        <f>""</f>
        <v/>
      </c>
      <c r="CB271" t="str">
        <f>""</f>
        <v/>
      </c>
      <c r="CC271" t="str">
        <f>""</f>
        <v/>
      </c>
      <c r="CD271" t="str">
        <f>""</f>
        <v/>
      </c>
      <c r="CE271" t="str">
        <f>""</f>
        <v/>
      </c>
      <c r="CF271" t="str">
        <f>""</f>
        <v/>
      </c>
      <c r="CG271" t="str">
        <f>""</f>
        <v/>
      </c>
      <c r="CH271" t="str">
        <f>""</f>
        <v/>
      </c>
      <c r="CI271" t="str">
        <f>""</f>
        <v/>
      </c>
      <c r="CJ271" t="str">
        <f>""</f>
        <v/>
      </c>
      <c r="CK271" t="str">
        <f>""</f>
        <v/>
      </c>
      <c r="CL271" t="str">
        <f>""</f>
        <v/>
      </c>
      <c r="CM271" t="str">
        <f>""</f>
        <v/>
      </c>
      <c r="CN271" t="str">
        <f>""</f>
        <v/>
      </c>
      <c r="CO271" t="str">
        <f>""</f>
        <v/>
      </c>
      <c r="CP271" t="str">
        <f>""</f>
        <v/>
      </c>
      <c r="CQ271" t="str">
        <f>""</f>
        <v/>
      </c>
      <c r="CR271" t="str">
        <f>""</f>
        <v/>
      </c>
      <c r="CS271" t="str">
        <f>""</f>
        <v/>
      </c>
      <c r="CT271" t="str">
        <f>""</f>
        <v/>
      </c>
      <c r="CU271" t="str">
        <f>""</f>
        <v/>
      </c>
      <c r="CV271" t="str">
        <f>""</f>
        <v/>
      </c>
      <c r="CW271" t="str">
        <f>""</f>
        <v/>
      </c>
      <c r="CX271" t="str">
        <f>""</f>
        <v/>
      </c>
      <c r="CY271" t="str">
        <f>""</f>
        <v/>
      </c>
      <c r="CZ271" t="str">
        <f>""</f>
        <v/>
      </c>
      <c r="DA271" t="str">
        <f>""</f>
        <v/>
      </c>
      <c r="DB271" t="str">
        <f>""</f>
        <v/>
      </c>
      <c r="DC271" t="str">
        <f>""</f>
        <v/>
      </c>
      <c r="DD271" t="str">
        <f>""</f>
        <v/>
      </c>
      <c r="DE271" t="str">
        <f>""</f>
        <v/>
      </c>
      <c r="DF271" t="str">
        <f>""</f>
        <v/>
      </c>
      <c r="DG271" t="str">
        <f>""</f>
        <v/>
      </c>
      <c r="DH271" t="str">
        <f>""</f>
        <v/>
      </c>
      <c r="DI271" t="str">
        <f>""</f>
        <v/>
      </c>
      <c r="DJ271" t="str">
        <f>""</f>
        <v/>
      </c>
      <c r="DK271" t="str">
        <f>""</f>
        <v/>
      </c>
      <c r="DL271" t="str">
        <f>""</f>
        <v/>
      </c>
      <c r="DM271" t="str">
        <f>""</f>
        <v/>
      </c>
      <c r="DN271" t="str">
        <f>""</f>
        <v/>
      </c>
      <c r="DO271" t="str">
        <f>""</f>
        <v/>
      </c>
      <c r="DP271" t="str">
        <f>""</f>
        <v/>
      </c>
      <c r="DQ271" t="str">
        <f>""</f>
        <v/>
      </c>
      <c r="DR271" t="str">
        <f>""</f>
        <v/>
      </c>
      <c r="DS271" t="str">
        <f>""</f>
        <v/>
      </c>
      <c r="DT271" t="str">
        <f>""</f>
        <v/>
      </c>
      <c r="DU271" t="str">
        <f>""</f>
        <v/>
      </c>
    </row>
    <row r="272" spans="1:125" x14ac:dyDescent="0.25">
      <c r="A272" t="str">
        <f>"~~~~~~~~~~~~~~~~~~~~~"</f>
        <v>~~~~~~~~~~~~~~~~~~~~~</v>
      </c>
      <c r="B272" t="str">
        <f>"~~~~~~~~~~~~~~~~~~~~~"</f>
        <v>~~~~~~~~~~~~~~~~~~~~~</v>
      </c>
      <c r="C272" t="str">
        <f>"~~~~~~~~~~~~~~~~~~~~~"</f>
        <v>~~~~~~~~~~~~~~~~~~~~~</v>
      </c>
      <c r="D272" t="str">
        <f>"~~~~~~~~~~~~~~~~~~~~~"</f>
        <v>~~~~~~~~~~~~~~~~~~~~~</v>
      </c>
      <c r="E272" t="str">
        <f>"~~~~~~~~~~~~~~~~~~~~~"</f>
        <v>~~~~~~~~~~~~~~~~~~~~~</v>
      </c>
      <c r="BN272" t="str">
        <f>""</f>
        <v/>
      </c>
      <c r="BO272" t="str">
        <f>""</f>
        <v/>
      </c>
      <c r="BP272" t="str">
        <f>""</f>
        <v/>
      </c>
      <c r="BQ272" t="str">
        <f>""</f>
        <v/>
      </c>
      <c r="BR272" t="str">
        <f>""</f>
        <v/>
      </c>
      <c r="BS272" t="str">
        <f>""</f>
        <v/>
      </c>
      <c r="BT272" t="str">
        <f>""</f>
        <v/>
      </c>
      <c r="BU272" t="str">
        <f>""</f>
        <v/>
      </c>
      <c r="BV272" t="str">
        <f>""</f>
        <v/>
      </c>
      <c r="BW272" t="str">
        <f>""</f>
        <v/>
      </c>
      <c r="BX272" t="str">
        <f>""</f>
        <v/>
      </c>
      <c r="BY272" t="str">
        <f>""</f>
        <v/>
      </c>
      <c r="BZ272" t="str">
        <f>""</f>
        <v/>
      </c>
      <c r="CA272" t="str">
        <f>""</f>
        <v/>
      </c>
      <c r="CB272" t="str">
        <f>""</f>
        <v/>
      </c>
      <c r="CC272" t="str">
        <f>""</f>
        <v/>
      </c>
      <c r="CD272" t="str">
        <f>""</f>
        <v/>
      </c>
      <c r="CE272" t="str">
        <f>""</f>
        <v/>
      </c>
      <c r="CF272" t="str">
        <f>""</f>
        <v/>
      </c>
      <c r="CG272" t="str">
        <f>""</f>
        <v/>
      </c>
      <c r="CH272" t="str">
        <f>""</f>
        <v/>
      </c>
      <c r="CI272" t="str">
        <f>""</f>
        <v/>
      </c>
      <c r="CJ272" t="str">
        <f>""</f>
        <v/>
      </c>
      <c r="CK272" t="str">
        <f>""</f>
        <v/>
      </c>
      <c r="CL272" t="str">
        <f>""</f>
        <v/>
      </c>
      <c r="CM272" t="str">
        <f>""</f>
        <v/>
      </c>
      <c r="CN272" t="str">
        <f>""</f>
        <v/>
      </c>
      <c r="CO272" t="str">
        <f>""</f>
        <v/>
      </c>
      <c r="CP272" t="str">
        <f>""</f>
        <v/>
      </c>
      <c r="CQ272" t="str">
        <f>""</f>
        <v/>
      </c>
      <c r="CR272" t="str">
        <f>""</f>
        <v/>
      </c>
      <c r="CS272" t="str">
        <f>""</f>
        <v/>
      </c>
      <c r="CT272" t="str">
        <f>""</f>
        <v/>
      </c>
      <c r="CU272" t="str">
        <f>""</f>
        <v/>
      </c>
      <c r="CV272" t="str">
        <f>""</f>
        <v/>
      </c>
      <c r="CW272" t="str">
        <f>""</f>
        <v/>
      </c>
      <c r="CX272" t="str">
        <f>""</f>
        <v/>
      </c>
      <c r="CY272" t="str">
        <f>""</f>
        <v/>
      </c>
      <c r="CZ272" t="str">
        <f>""</f>
        <v/>
      </c>
      <c r="DA272" t="str">
        <f>""</f>
        <v/>
      </c>
      <c r="DB272" t="str">
        <f>""</f>
        <v/>
      </c>
      <c r="DC272" t="str">
        <f>""</f>
        <v/>
      </c>
      <c r="DD272" t="str">
        <f>""</f>
        <v/>
      </c>
      <c r="DE272" t="str">
        <f>""</f>
        <v/>
      </c>
      <c r="DF272" t="str">
        <f>""</f>
        <v/>
      </c>
      <c r="DG272" t="str">
        <f>""</f>
        <v/>
      </c>
      <c r="DH272" t="str">
        <f>""</f>
        <v/>
      </c>
      <c r="DI272" t="str">
        <f>""</f>
        <v/>
      </c>
      <c r="DJ272" t="str">
        <f>""</f>
        <v/>
      </c>
      <c r="DK272" t="str">
        <f>""</f>
        <v/>
      </c>
      <c r="DL272" t="str">
        <f>""</f>
        <v/>
      </c>
      <c r="DM272" t="str">
        <f>""</f>
        <v/>
      </c>
      <c r="DN272" t="str">
        <f>""</f>
        <v/>
      </c>
      <c r="DO272" t="str">
        <f>""</f>
        <v/>
      </c>
      <c r="DP272" t="str">
        <f>""</f>
        <v/>
      </c>
      <c r="DQ272" t="str">
        <f>""</f>
        <v/>
      </c>
      <c r="DR272" t="str">
        <f>""</f>
        <v/>
      </c>
      <c r="DS272" t="str">
        <f>""</f>
        <v/>
      </c>
      <c r="DT272" t="str">
        <f>""</f>
        <v/>
      </c>
      <c r="DU272" t="str">
        <f>""</f>
        <v/>
      </c>
    </row>
    <row r="273" spans="1:125" x14ac:dyDescent="0.25">
      <c r="A273" t="str">
        <f>"Rows below for column date calculation"</f>
        <v>Rows below for column date calculation</v>
      </c>
      <c r="BN273" t="str">
        <f>""</f>
        <v/>
      </c>
      <c r="BO273" t="str">
        <f>""</f>
        <v/>
      </c>
      <c r="BP273" t="str">
        <f>""</f>
        <v/>
      </c>
      <c r="BQ273" t="str">
        <f>""</f>
        <v/>
      </c>
      <c r="BR273" t="str">
        <f>""</f>
        <v/>
      </c>
      <c r="BS273" t="str">
        <f>""</f>
        <v/>
      </c>
      <c r="BT273" t="str">
        <f>""</f>
        <v/>
      </c>
      <c r="BU273" t="str">
        <f>""</f>
        <v/>
      </c>
      <c r="BV273" t="str">
        <f>""</f>
        <v/>
      </c>
      <c r="BW273" t="str">
        <f>""</f>
        <v/>
      </c>
      <c r="BX273" t="str">
        <f>""</f>
        <v/>
      </c>
      <c r="BY273" t="str">
        <f>""</f>
        <v/>
      </c>
      <c r="BZ273" t="str">
        <f>""</f>
        <v/>
      </c>
      <c r="CA273" t="str">
        <f>""</f>
        <v/>
      </c>
      <c r="CB273" t="str">
        <f>""</f>
        <v/>
      </c>
      <c r="CC273" t="str">
        <f>""</f>
        <v/>
      </c>
      <c r="CD273" t="str">
        <f>""</f>
        <v/>
      </c>
      <c r="CE273" t="str">
        <f>""</f>
        <v/>
      </c>
      <c r="CF273" t="str">
        <f>""</f>
        <v/>
      </c>
      <c r="CG273" t="str">
        <f>""</f>
        <v/>
      </c>
      <c r="CH273" t="str">
        <f>""</f>
        <v/>
      </c>
      <c r="CI273" t="str">
        <f>""</f>
        <v/>
      </c>
      <c r="CJ273" t="str">
        <f>""</f>
        <v/>
      </c>
      <c r="CK273" t="str">
        <f>""</f>
        <v/>
      </c>
      <c r="CL273" t="str">
        <f>""</f>
        <v/>
      </c>
      <c r="CM273" t="str">
        <f>""</f>
        <v/>
      </c>
      <c r="CN273" t="str">
        <f>""</f>
        <v/>
      </c>
      <c r="CO273" t="str">
        <f>""</f>
        <v/>
      </c>
      <c r="CP273" t="str">
        <f>""</f>
        <v/>
      </c>
      <c r="CQ273" t="str">
        <f>""</f>
        <v/>
      </c>
      <c r="CR273" t="str">
        <f>""</f>
        <v/>
      </c>
      <c r="CS273" t="str">
        <f>""</f>
        <v/>
      </c>
      <c r="CT273" t="str">
        <f>""</f>
        <v/>
      </c>
      <c r="CU273" t="str">
        <f>""</f>
        <v/>
      </c>
      <c r="CV273" t="str">
        <f>""</f>
        <v/>
      </c>
      <c r="CW273" t="str">
        <f>""</f>
        <v/>
      </c>
      <c r="CX273" t="str">
        <f>""</f>
        <v/>
      </c>
      <c r="CY273" t="str">
        <f>""</f>
        <v/>
      </c>
      <c r="CZ273" t="str">
        <f>""</f>
        <v/>
      </c>
      <c r="DA273" t="str">
        <f>""</f>
        <v/>
      </c>
      <c r="DB273" t="str">
        <f>""</f>
        <v/>
      </c>
      <c r="DC273" t="str">
        <f>""</f>
        <v/>
      </c>
      <c r="DD273" t="str">
        <f>""</f>
        <v/>
      </c>
      <c r="DE273" t="str">
        <f>""</f>
        <v/>
      </c>
      <c r="DF273" t="str">
        <f>""</f>
        <v/>
      </c>
      <c r="DG273" t="str">
        <f>""</f>
        <v/>
      </c>
      <c r="DH273" t="str">
        <f>""</f>
        <v/>
      </c>
      <c r="DI273" t="str">
        <f>""</f>
        <v/>
      </c>
      <c r="DJ273" t="str">
        <f>""</f>
        <v/>
      </c>
      <c r="DK273" t="str">
        <f>""</f>
        <v/>
      </c>
      <c r="DL273" t="str">
        <f>""</f>
        <v/>
      </c>
      <c r="DM273" t="str">
        <f>""</f>
        <v/>
      </c>
      <c r="DN273" t="str">
        <f>""</f>
        <v/>
      </c>
      <c r="DO273" t="str">
        <f>""</f>
        <v/>
      </c>
      <c r="DP273" t="str">
        <f>""</f>
        <v/>
      </c>
      <c r="DQ273" t="str">
        <f>""</f>
        <v/>
      </c>
      <c r="DR273" t="str">
        <f>""</f>
        <v/>
      </c>
      <c r="DS273" t="str">
        <f>""</f>
        <v/>
      </c>
      <c r="DT273" t="str">
        <f>""</f>
        <v/>
      </c>
      <c r="DU273" t="str">
        <f>""</f>
        <v/>
      </c>
    </row>
    <row r="274" spans="1:125" x14ac:dyDescent="0.25">
      <c r="A274" t="str">
        <f>"Downloaded at"</f>
        <v>Downloaded at</v>
      </c>
      <c r="B274">
        <f>DATE(2025, 3,24)</f>
        <v>45740</v>
      </c>
      <c r="C274" t="str">
        <f>""</f>
        <v/>
      </c>
      <c r="D274" t="str">
        <f>""</f>
        <v/>
      </c>
      <c r="E274" t="str">
        <f>""</f>
        <v/>
      </c>
      <c r="BN274" t="str">
        <f>""</f>
        <v/>
      </c>
      <c r="BO274" t="str">
        <f>""</f>
        <v/>
      </c>
      <c r="BP274" t="str">
        <f>""</f>
        <v/>
      </c>
      <c r="BQ274" t="str">
        <f>""</f>
        <v/>
      </c>
      <c r="BR274" t="str">
        <f>""</f>
        <v/>
      </c>
      <c r="BS274" t="str">
        <f>""</f>
        <v/>
      </c>
      <c r="BT274" t="str">
        <f>""</f>
        <v/>
      </c>
      <c r="BU274" t="str">
        <f>""</f>
        <v/>
      </c>
      <c r="BV274" t="str">
        <f>""</f>
        <v/>
      </c>
      <c r="BW274" t="str">
        <f>""</f>
        <v/>
      </c>
      <c r="BX274" t="str">
        <f>""</f>
        <v/>
      </c>
      <c r="BY274" t="str">
        <f>""</f>
        <v/>
      </c>
      <c r="BZ274" t="str">
        <f>""</f>
        <v/>
      </c>
      <c r="CA274" t="str">
        <f>""</f>
        <v/>
      </c>
      <c r="CB274" t="str">
        <f>""</f>
        <v/>
      </c>
      <c r="CC274" t="str">
        <f>""</f>
        <v/>
      </c>
      <c r="CD274" t="str">
        <f>""</f>
        <v/>
      </c>
      <c r="CE274" t="str">
        <f>""</f>
        <v/>
      </c>
      <c r="CF274" t="str">
        <f>""</f>
        <v/>
      </c>
      <c r="CG274" t="str">
        <f>""</f>
        <v/>
      </c>
      <c r="CH274" t="str">
        <f>""</f>
        <v/>
      </c>
      <c r="CI274" t="str">
        <f>""</f>
        <v/>
      </c>
      <c r="CJ274" t="str">
        <f>""</f>
        <v/>
      </c>
      <c r="CK274" t="str">
        <f>""</f>
        <v/>
      </c>
      <c r="CL274" t="str">
        <f>""</f>
        <v/>
      </c>
      <c r="CM274" t="str">
        <f>""</f>
        <v/>
      </c>
      <c r="CN274" t="str">
        <f>""</f>
        <v/>
      </c>
      <c r="CO274" t="str">
        <f>""</f>
        <v/>
      </c>
      <c r="CP274" t="str">
        <f>""</f>
        <v/>
      </c>
      <c r="CQ274" t="str">
        <f>""</f>
        <v/>
      </c>
      <c r="CR274" t="str">
        <f>""</f>
        <v/>
      </c>
      <c r="CS274" t="str">
        <f>""</f>
        <v/>
      </c>
      <c r="CT274" t="str">
        <f>""</f>
        <v/>
      </c>
      <c r="CU274" t="str">
        <f>""</f>
        <v/>
      </c>
      <c r="CV274" t="str">
        <f>""</f>
        <v/>
      </c>
      <c r="CW274" t="str">
        <f>""</f>
        <v/>
      </c>
      <c r="CX274" t="str">
        <f>""</f>
        <v/>
      </c>
      <c r="CY274" t="str">
        <f>""</f>
        <v/>
      </c>
      <c r="CZ274" t="str">
        <f>""</f>
        <v/>
      </c>
      <c r="DA274" t="str">
        <f>""</f>
        <v/>
      </c>
      <c r="DB274" t="str">
        <f>""</f>
        <v/>
      </c>
      <c r="DC274" t="str">
        <f>""</f>
        <v/>
      </c>
      <c r="DD274" t="str">
        <f>""</f>
        <v/>
      </c>
      <c r="DE274" t="str">
        <f>""</f>
        <v/>
      </c>
      <c r="DF274" t="str">
        <f>""</f>
        <v/>
      </c>
      <c r="DG274" t="str">
        <f>""</f>
        <v/>
      </c>
      <c r="DH274" t="str">
        <f>""</f>
        <v/>
      </c>
      <c r="DI274" t="str">
        <f>""</f>
        <v/>
      </c>
      <c r="DJ274" t="str">
        <f>""</f>
        <v/>
      </c>
      <c r="DK274" t="str">
        <f>""</f>
        <v/>
      </c>
      <c r="DL274" t="str">
        <f>""</f>
        <v/>
      </c>
      <c r="DM274" t="str">
        <f>""</f>
        <v/>
      </c>
      <c r="DN274" t="str">
        <f>""</f>
        <v/>
      </c>
      <c r="DO274" t="str">
        <f>""</f>
        <v/>
      </c>
      <c r="DP274" t="str">
        <f>""</f>
        <v/>
      </c>
      <c r="DQ274" t="str">
        <f>""</f>
        <v/>
      </c>
      <c r="DR274" t="str">
        <f>""</f>
        <v/>
      </c>
      <c r="DS274" t="str">
        <f>""</f>
        <v/>
      </c>
      <c r="DT274" t="str">
        <f>""</f>
        <v/>
      </c>
      <c r="DU274" t="str">
        <f>""</f>
        <v/>
      </c>
    </row>
    <row r="275" spans="1:125" x14ac:dyDescent="0.25">
      <c r="A275" t="str">
        <f>"This is End Date"</f>
        <v>This is End Date</v>
      </c>
      <c r="B275">
        <f ca="1">$B$144</f>
        <v>45740</v>
      </c>
      <c r="C275" t="str">
        <f>""</f>
        <v/>
      </c>
      <c r="D275" t="str">
        <f>""</f>
        <v/>
      </c>
      <c r="E275" t="str">
        <f>""</f>
        <v/>
      </c>
      <c r="BN275" t="str">
        <f>""</f>
        <v/>
      </c>
      <c r="BO275" t="str">
        <f>""</f>
        <v/>
      </c>
      <c r="BP275" t="str">
        <f>""</f>
        <v/>
      </c>
      <c r="BQ275" t="str">
        <f>""</f>
        <v/>
      </c>
      <c r="BR275" t="str">
        <f>""</f>
        <v/>
      </c>
      <c r="BS275" t="str">
        <f>""</f>
        <v/>
      </c>
      <c r="BT275" t="str">
        <f>""</f>
        <v/>
      </c>
      <c r="BU275" t="str">
        <f>""</f>
        <v/>
      </c>
      <c r="BV275" t="str">
        <f>""</f>
        <v/>
      </c>
      <c r="BW275" t="str">
        <f>""</f>
        <v/>
      </c>
      <c r="BX275" t="str">
        <f>""</f>
        <v/>
      </c>
      <c r="BY275" t="str">
        <f>""</f>
        <v/>
      </c>
      <c r="BZ275" t="str">
        <f>""</f>
        <v/>
      </c>
      <c r="CA275" t="str">
        <f>""</f>
        <v/>
      </c>
      <c r="CB275" t="str">
        <f>""</f>
        <v/>
      </c>
      <c r="CC275" t="str">
        <f>""</f>
        <v/>
      </c>
      <c r="CD275" t="str">
        <f>""</f>
        <v/>
      </c>
      <c r="CE275" t="str">
        <f>""</f>
        <v/>
      </c>
      <c r="CF275" t="str">
        <f>""</f>
        <v/>
      </c>
      <c r="CG275" t="str">
        <f>""</f>
        <v/>
      </c>
      <c r="CH275" t="str">
        <f>""</f>
        <v/>
      </c>
      <c r="CI275" t="str">
        <f>""</f>
        <v/>
      </c>
      <c r="CJ275" t="str">
        <f>""</f>
        <v/>
      </c>
      <c r="CK275" t="str">
        <f>""</f>
        <v/>
      </c>
      <c r="CL275" t="str">
        <f>""</f>
        <v/>
      </c>
      <c r="CM275" t="str">
        <f>""</f>
        <v/>
      </c>
      <c r="CN275" t="str">
        <f>""</f>
        <v/>
      </c>
      <c r="CO275" t="str">
        <f>""</f>
        <v/>
      </c>
      <c r="CP275" t="str">
        <f>""</f>
        <v/>
      </c>
      <c r="CQ275" t="str">
        <f>""</f>
        <v/>
      </c>
      <c r="CR275" t="str">
        <f>""</f>
        <v/>
      </c>
      <c r="CS275" t="str">
        <f>""</f>
        <v/>
      </c>
      <c r="CT275" t="str">
        <f>""</f>
        <v/>
      </c>
      <c r="CU275" t="str">
        <f>""</f>
        <v/>
      </c>
      <c r="CV275" t="str">
        <f>""</f>
        <v/>
      </c>
      <c r="CW275" t="str">
        <f>""</f>
        <v/>
      </c>
      <c r="CX275" t="str">
        <f>""</f>
        <v/>
      </c>
      <c r="CY275" t="str">
        <f>""</f>
        <v/>
      </c>
      <c r="CZ275" t="str">
        <f>""</f>
        <v/>
      </c>
      <c r="DA275" t="str">
        <f>""</f>
        <v/>
      </c>
      <c r="DB275" t="str">
        <f>""</f>
        <v/>
      </c>
      <c r="DC275" t="str">
        <f>""</f>
        <v/>
      </c>
      <c r="DD275" t="str">
        <f>""</f>
        <v/>
      </c>
      <c r="DE275" t="str">
        <f>""</f>
        <v/>
      </c>
      <c r="DF275" t="str">
        <f>""</f>
        <v/>
      </c>
      <c r="DG275" t="str">
        <f>""</f>
        <v/>
      </c>
      <c r="DH275" t="str">
        <f>""</f>
        <v/>
      </c>
      <c r="DI275" t="str">
        <f>""</f>
        <v/>
      </c>
      <c r="DJ275" t="str">
        <f>""</f>
        <v/>
      </c>
      <c r="DK275" t="str">
        <f>""</f>
        <v/>
      </c>
      <c r="DL275" t="str">
        <f>""</f>
        <v/>
      </c>
      <c r="DM275" t="str">
        <f>""</f>
        <v/>
      </c>
      <c r="DN275" t="str">
        <f>""</f>
        <v/>
      </c>
      <c r="DO275" t="str">
        <f>""</f>
        <v/>
      </c>
      <c r="DP275" t="str">
        <f>""</f>
        <v/>
      </c>
      <c r="DQ275" t="str">
        <f>""</f>
        <v/>
      </c>
      <c r="DR275" t="str">
        <f>""</f>
        <v/>
      </c>
      <c r="DS275" t="str">
        <f>""</f>
        <v/>
      </c>
      <c r="DT275" t="str">
        <f>""</f>
        <v/>
      </c>
      <c r="DU275" t="str">
        <f>""</f>
        <v/>
      </c>
    </row>
    <row r="276" spans="1:125" x14ac:dyDescent="0.25">
      <c r="A276" t="str">
        <f>"Description"</f>
        <v>Description</v>
      </c>
      <c r="B276" t="str">
        <f>"Ticker"</f>
        <v>Ticker</v>
      </c>
      <c r="C276" t="str">
        <f>"Field ID"</f>
        <v>Field ID</v>
      </c>
      <c r="D276" t="str">
        <f>"Field Mnemonic"</f>
        <v>Field Mnemonic</v>
      </c>
      <c r="E276" t="str">
        <f>"Data State"</f>
        <v>Data State</v>
      </c>
      <c r="BN276" t="str">
        <f>""</f>
        <v/>
      </c>
      <c r="BO276" t="str">
        <f>""</f>
        <v/>
      </c>
      <c r="BP276" t="str">
        <f>""</f>
        <v/>
      </c>
      <c r="BQ276" t="str">
        <f>""</f>
        <v/>
      </c>
      <c r="BR276" t="str">
        <f>""</f>
        <v/>
      </c>
      <c r="BS276" t="str">
        <f>""</f>
        <v/>
      </c>
      <c r="BT276" t="str">
        <f>""</f>
        <v/>
      </c>
      <c r="BU276" t="str">
        <f>""</f>
        <v/>
      </c>
      <c r="BV276" t="str">
        <f>""</f>
        <v/>
      </c>
      <c r="BW276" t="str">
        <f>""</f>
        <v/>
      </c>
      <c r="BX276" t="str">
        <f>""</f>
        <v/>
      </c>
      <c r="BY276" t="str">
        <f>""</f>
        <v/>
      </c>
      <c r="BZ276" t="str">
        <f>""</f>
        <v/>
      </c>
      <c r="CA276" t="str">
        <f>""</f>
        <v/>
      </c>
      <c r="CB276" t="str">
        <f>""</f>
        <v/>
      </c>
      <c r="CC276" t="str">
        <f>""</f>
        <v/>
      </c>
      <c r="CD276" t="str">
        <f>""</f>
        <v/>
      </c>
      <c r="CE276" t="str">
        <f>""</f>
        <v/>
      </c>
      <c r="CF276" t="str">
        <f>""</f>
        <v/>
      </c>
      <c r="CG276" t="str">
        <f>""</f>
        <v/>
      </c>
      <c r="CH276" t="str">
        <f>""</f>
        <v/>
      </c>
      <c r="CI276" t="str">
        <f>""</f>
        <v/>
      </c>
      <c r="CJ276" t="str">
        <f>""</f>
        <v/>
      </c>
      <c r="CK276" t="str">
        <f>""</f>
        <v/>
      </c>
      <c r="CL276" t="str">
        <f>""</f>
        <v/>
      </c>
      <c r="CM276" t="str">
        <f>""</f>
        <v/>
      </c>
      <c r="CN276" t="str">
        <f>""</f>
        <v/>
      </c>
      <c r="CO276" t="str">
        <f>""</f>
        <v/>
      </c>
      <c r="CP276" t="str">
        <f>""</f>
        <v/>
      </c>
      <c r="CQ276" t="str">
        <f>""</f>
        <v/>
      </c>
      <c r="CR276" t="str">
        <f>""</f>
        <v/>
      </c>
      <c r="CS276" t="str">
        <f>""</f>
        <v/>
      </c>
      <c r="CT276" t="str">
        <f>""</f>
        <v/>
      </c>
      <c r="CU276" t="str">
        <f>""</f>
        <v/>
      </c>
      <c r="CV276" t="str">
        <f>""</f>
        <v/>
      </c>
      <c r="CW276" t="str">
        <f>""</f>
        <v/>
      </c>
      <c r="CX276" t="str">
        <f>""</f>
        <v/>
      </c>
      <c r="CY276" t="str">
        <f>""</f>
        <v/>
      </c>
      <c r="CZ276" t="str">
        <f>""</f>
        <v/>
      </c>
      <c r="DA276" t="str">
        <f>""</f>
        <v/>
      </c>
      <c r="DB276" t="str">
        <f>""</f>
        <v/>
      </c>
      <c r="DC276" t="str">
        <f>""</f>
        <v/>
      </c>
      <c r="DD276" t="str">
        <f>""</f>
        <v/>
      </c>
      <c r="DE276" t="str">
        <f>""</f>
        <v/>
      </c>
      <c r="DF276" t="str">
        <f>""</f>
        <v/>
      </c>
      <c r="DG276" t="str">
        <f>""</f>
        <v/>
      </c>
      <c r="DH276" t="str">
        <f>""</f>
        <v/>
      </c>
      <c r="DI276" t="str">
        <f>""</f>
        <v/>
      </c>
      <c r="DJ276" t="str">
        <f>""</f>
        <v/>
      </c>
      <c r="DK276" t="str">
        <f>""</f>
        <v/>
      </c>
      <c r="DL276" t="str">
        <f>""</f>
        <v/>
      </c>
      <c r="DM276" t="str">
        <f>""</f>
        <v/>
      </c>
      <c r="DN276" t="str">
        <f>""</f>
        <v/>
      </c>
      <c r="DO276" t="str">
        <f>""</f>
        <v/>
      </c>
      <c r="DP276" t="str">
        <f>""</f>
        <v/>
      </c>
      <c r="DQ276" t="str">
        <f>""</f>
        <v/>
      </c>
      <c r="DR276" t="str">
        <f>""</f>
        <v/>
      </c>
      <c r="DS276" t="str">
        <f>""</f>
        <v/>
      </c>
      <c r="DT276" t="str">
        <f>""</f>
        <v/>
      </c>
      <c r="DU276" t="str">
        <f>""</f>
        <v/>
      </c>
    </row>
    <row r="277" spans="1:125" x14ac:dyDescent="0.25">
      <c r="A277" t="str">
        <f>"Snapshot Date"</f>
        <v>Snapshot Date</v>
      </c>
      <c r="B277">
        <f>DATE(2025, 3,24)</f>
        <v>45740</v>
      </c>
      <c r="C277" t="str">
        <f>""</f>
        <v/>
      </c>
      <c r="D277" t="str">
        <f>""</f>
        <v/>
      </c>
      <c r="E277" t="str">
        <f>""</f>
        <v/>
      </c>
      <c r="BN277" t="str">
        <f>""</f>
        <v/>
      </c>
      <c r="BO277" t="str">
        <f>""</f>
        <v/>
      </c>
      <c r="BP277" t="str">
        <f>""</f>
        <v/>
      </c>
      <c r="BQ277" t="str">
        <f>""</f>
        <v/>
      </c>
      <c r="BR277" t="str">
        <f>""</f>
        <v/>
      </c>
      <c r="BS277" t="str">
        <f>""</f>
        <v/>
      </c>
      <c r="BT277" t="str">
        <f>""</f>
        <v/>
      </c>
      <c r="BU277" t="str">
        <f>""</f>
        <v/>
      </c>
      <c r="BV277" t="str">
        <f>""</f>
        <v/>
      </c>
      <c r="BW277" t="str">
        <f>""</f>
        <v/>
      </c>
      <c r="BX277" t="str">
        <f>""</f>
        <v/>
      </c>
      <c r="BY277" t="str">
        <f>""</f>
        <v/>
      </c>
      <c r="BZ277" t="str">
        <f>""</f>
        <v/>
      </c>
      <c r="CA277" t="str">
        <f>""</f>
        <v/>
      </c>
      <c r="CB277" t="str">
        <f>""</f>
        <v/>
      </c>
      <c r="CC277" t="str">
        <f>""</f>
        <v/>
      </c>
      <c r="CD277" t="str">
        <f>""</f>
        <v/>
      </c>
      <c r="CE277" t="str">
        <f>""</f>
        <v/>
      </c>
      <c r="CF277" t="str">
        <f>""</f>
        <v/>
      </c>
      <c r="CG277" t="str">
        <f>""</f>
        <v/>
      </c>
      <c r="CH277" t="str">
        <f>""</f>
        <v/>
      </c>
      <c r="CI277" t="str">
        <f>""</f>
        <v/>
      </c>
      <c r="CJ277" t="str">
        <f>""</f>
        <v/>
      </c>
      <c r="CK277" t="str">
        <f>""</f>
        <v/>
      </c>
      <c r="CL277" t="str">
        <f>""</f>
        <v/>
      </c>
      <c r="CM277" t="str">
        <f>""</f>
        <v/>
      </c>
      <c r="CN277" t="str">
        <f>""</f>
        <v/>
      </c>
      <c r="CO277" t="str">
        <f>""</f>
        <v/>
      </c>
      <c r="CP277" t="str">
        <f>""</f>
        <v/>
      </c>
      <c r="CQ277" t="str">
        <f>""</f>
        <v/>
      </c>
      <c r="CR277" t="str">
        <f>""</f>
        <v/>
      </c>
      <c r="CS277" t="str">
        <f>""</f>
        <v/>
      </c>
      <c r="CT277" t="str">
        <f>""</f>
        <v/>
      </c>
      <c r="CU277" t="str">
        <f>""</f>
        <v/>
      </c>
      <c r="CV277" t="str">
        <f>""</f>
        <v/>
      </c>
      <c r="CW277" t="str">
        <f>""</f>
        <v/>
      </c>
      <c r="CX277" t="str">
        <f>""</f>
        <v/>
      </c>
      <c r="CY277" t="str">
        <f>""</f>
        <v/>
      </c>
      <c r="CZ277" t="str">
        <f>""</f>
        <v/>
      </c>
      <c r="DA277" t="str">
        <f>""</f>
        <v/>
      </c>
      <c r="DB277" t="str">
        <f>""</f>
        <v/>
      </c>
      <c r="DC277" t="str">
        <f>""</f>
        <v/>
      </c>
      <c r="DD277" t="str">
        <f>""</f>
        <v/>
      </c>
      <c r="DE277" t="str">
        <f>""</f>
        <v/>
      </c>
      <c r="DF277" t="str">
        <f>""</f>
        <v/>
      </c>
      <c r="DG277" t="str">
        <f>""</f>
        <v/>
      </c>
      <c r="DH277" t="str">
        <f>""</f>
        <v/>
      </c>
      <c r="DI277" t="str">
        <f>""</f>
        <v/>
      </c>
      <c r="DJ277" t="str">
        <f>""</f>
        <v/>
      </c>
      <c r="DK277" t="str">
        <f>""</f>
        <v/>
      </c>
      <c r="DL277" t="str">
        <f>""</f>
        <v/>
      </c>
      <c r="DM277" t="str">
        <f>""</f>
        <v/>
      </c>
      <c r="DN277" t="str">
        <f>""</f>
        <v/>
      </c>
      <c r="DO277" t="str">
        <f>""</f>
        <v/>
      </c>
      <c r="DP277" t="str">
        <f>""</f>
        <v/>
      </c>
      <c r="DQ277" t="str">
        <f>""</f>
        <v/>
      </c>
      <c r="DR277" t="str">
        <f>""</f>
        <v/>
      </c>
      <c r="DS277" t="str">
        <f>""</f>
        <v/>
      </c>
      <c r="DT277" t="str">
        <f>""</f>
        <v/>
      </c>
      <c r="DU277" t="str">
        <f>""</f>
        <v/>
      </c>
    </row>
    <row r="278" spans="1:125" x14ac:dyDescent="0.25">
      <c r="A278" t="str">
        <f>"Snapshot header"</f>
        <v>Snapshot header</v>
      </c>
      <c r="B278">
        <f>2</f>
        <v>2</v>
      </c>
      <c r="C278" t="str">
        <f>"2024 Q4"</f>
        <v>2024 Q4</v>
      </c>
      <c r="D278" t="str">
        <f>"2024 Q3"</f>
        <v>2024 Q3</v>
      </c>
      <c r="E278" t="str">
        <f>"2024 Q2"</f>
        <v>2024 Q2</v>
      </c>
      <c r="F278" t="str">
        <f>"2024 Q1"</f>
        <v>2024 Q1</v>
      </c>
      <c r="G278" t="str">
        <f>"2023 Q4"</f>
        <v>2023 Q4</v>
      </c>
      <c r="H278" t="str">
        <f>"2023 Q3"</f>
        <v>2023 Q3</v>
      </c>
      <c r="I278" t="str">
        <f>"2023 Q2"</f>
        <v>2023 Q2</v>
      </c>
      <c r="J278" t="str">
        <f>"2023 Q1"</f>
        <v>2023 Q1</v>
      </c>
      <c r="K278" t="str">
        <f>"2022 Q4"</f>
        <v>2022 Q4</v>
      </c>
      <c r="L278" t="str">
        <f>"2022 Q3"</f>
        <v>2022 Q3</v>
      </c>
      <c r="M278" t="str">
        <f>"2022 Q2"</f>
        <v>2022 Q2</v>
      </c>
      <c r="N278" t="str">
        <f>"2022 Q1"</f>
        <v>2022 Q1</v>
      </c>
      <c r="O278" t="str">
        <f>"2021 Q4"</f>
        <v>2021 Q4</v>
      </c>
      <c r="P278" t="str">
        <f>"2021 Q3"</f>
        <v>2021 Q3</v>
      </c>
      <c r="Q278" t="str">
        <f>"2021 Q2"</f>
        <v>2021 Q2</v>
      </c>
      <c r="R278" t="str">
        <f>"2021 Q1"</f>
        <v>2021 Q1</v>
      </c>
      <c r="S278" t="str">
        <f>"2020 Q4"</f>
        <v>2020 Q4</v>
      </c>
      <c r="T278" t="str">
        <f>"2020 Q3"</f>
        <v>2020 Q3</v>
      </c>
      <c r="U278" t="str">
        <f>"2020 Q2"</f>
        <v>2020 Q2</v>
      </c>
      <c r="V278" t="str">
        <f>"2020 Q1"</f>
        <v>2020 Q1</v>
      </c>
      <c r="W278" t="str">
        <f>"2019 Q4"</f>
        <v>2019 Q4</v>
      </c>
      <c r="X278" t="str">
        <f>"2019 Q3"</f>
        <v>2019 Q3</v>
      </c>
      <c r="Y278" t="str">
        <f>"2019 Q2"</f>
        <v>2019 Q2</v>
      </c>
      <c r="Z278" t="str">
        <f>"2019 Q1"</f>
        <v>2019 Q1</v>
      </c>
      <c r="AA278" t="str">
        <f>"2018 Q4"</f>
        <v>2018 Q4</v>
      </c>
      <c r="AB278" t="str">
        <f>"2018 Q3"</f>
        <v>2018 Q3</v>
      </c>
      <c r="AC278" t="str">
        <f>"2018 Q2"</f>
        <v>2018 Q2</v>
      </c>
      <c r="AD278" t="str">
        <f>"2018 Q1"</f>
        <v>2018 Q1</v>
      </c>
      <c r="AE278" t="str">
        <f>"2017 Q4"</f>
        <v>2017 Q4</v>
      </c>
      <c r="AF278" t="str">
        <f>"2017 Q3"</f>
        <v>2017 Q3</v>
      </c>
      <c r="AG278" t="str">
        <f>"2017 Q2"</f>
        <v>2017 Q2</v>
      </c>
      <c r="AH278" t="str">
        <f>"2017 Q1"</f>
        <v>2017 Q1</v>
      </c>
      <c r="AI278" t="str">
        <f>"2016 Q4"</f>
        <v>2016 Q4</v>
      </c>
      <c r="AJ278" t="str">
        <f>"2016 Q3"</f>
        <v>2016 Q3</v>
      </c>
      <c r="AK278" t="str">
        <f>"2016 Q2"</f>
        <v>2016 Q2</v>
      </c>
      <c r="AL278" t="str">
        <f>"2016 Q1"</f>
        <v>2016 Q1</v>
      </c>
      <c r="AM278" t="str">
        <f>"2015 Q4"</f>
        <v>2015 Q4</v>
      </c>
      <c r="AN278" t="str">
        <f>"2015 Q3"</f>
        <v>2015 Q3</v>
      </c>
      <c r="AO278" t="str">
        <f>"2015 Q2"</f>
        <v>2015 Q2</v>
      </c>
      <c r="AP278" t="str">
        <f>"2015 Q1"</f>
        <v>2015 Q1</v>
      </c>
      <c r="AQ278" t="str">
        <f>"2014 Q4"</f>
        <v>2014 Q4</v>
      </c>
      <c r="AR278" t="str">
        <f>"2014 Q3"</f>
        <v>2014 Q3</v>
      </c>
      <c r="AS278" t="str">
        <f>"2014 Q2"</f>
        <v>2014 Q2</v>
      </c>
      <c r="AT278" t="str">
        <f>"2014 Q1"</f>
        <v>2014 Q1</v>
      </c>
      <c r="AU278" t="str">
        <f>"2013 Q4"</f>
        <v>2013 Q4</v>
      </c>
      <c r="AV278" t="str">
        <f>"2013 Q3"</f>
        <v>2013 Q3</v>
      </c>
      <c r="AW278" t="str">
        <f>"2013 Q2"</f>
        <v>2013 Q2</v>
      </c>
      <c r="AX278" t="str">
        <f>"2013 Q1"</f>
        <v>2013 Q1</v>
      </c>
      <c r="AY278" t="str">
        <f>"2012 Q4"</f>
        <v>2012 Q4</v>
      </c>
      <c r="AZ278" t="str">
        <f>"2012 Q3"</f>
        <v>2012 Q3</v>
      </c>
      <c r="BA278" t="str">
        <f>"2012 Q2"</f>
        <v>2012 Q2</v>
      </c>
      <c r="BB278" t="str">
        <f>"2012 Q1"</f>
        <v>2012 Q1</v>
      </c>
      <c r="BC278" t="str">
        <f>"2011 Q4"</f>
        <v>2011 Q4</v>
      </c>
      <c r="BD278" t="str">
        <f>"2011 Q3"</f>
        <v>2011 Q3</v>
      </c>
      <c r="BE278" t="str">
        <f>"2011 Q2"</f>
        <v>2011 Q2</v>
      </c>
      <c r="BF278" t="str">
        <f>"2011 Q1"</f>
        <v>2011 Q1</v>
      </c>
      <c r="BG278" t="str">
        <f>"2010 Q4"</f>
        <v>2010 Q4</v>
      </c>
      <c r="BH278" t="str">
        <f>"2010 Q3"</f>
        <v>2010 Q3</v>
      </c>
      <c r="BI278" t="str">
        <f>"2010 Q2"</f>
        <v>2010 Q2</v>
      </c>
      <c r="BJ278" t="str">
        <f>"2010 Q1"</f>
        <v>2010 Q1</v>
      </c>
      <c r="BN278" t="str">
        <f>""</f>
        <v/>
      </c>
      <c r="BO278" t="str">
        <f>""</f>
        <v/>
      </c>
      <c r="BP278" t="str">
        <f>""</f>
        <v/>
      </c>
      <c r="BQ278" t="str">
        <f>""</f>
        <v/>
      </c>
      <c r="BR278" t="str">
        <f>""</f>
        <v/>
      </c>
      <c r="BS278" t="str">
        <f>""</f>
        <v/>
      </c>
      <c r="BT278" t="str">
        <f>""</f>
        <v/>
      </c>
      <c r="BU278" t="str">
        <f>""</f>
        <v/>
      </c>
      <c r="BV278" t="str">
        <f>""</f>
        <v/>
      </c>
      <c r="BW278" t="str">
        <f>""</f>
        <v/>
      </c>
      <c r="BX278" t="str">
        <f>""</f>
        <v/>
      </c>
      <c r="BY278" t="str">
        <f>""</f>
        <v/>
      </c>
      <c r="BZ278" t="str">
        <f>""</f>
        <v/>
      </c>
      <c r="CA278" t="str">
        <f>""</f>
        <v/>
      </c>
      <c r="CB278" t="str">
        <f>""</f>
        <v/>
      </c>
      <c r="CC278" t="str">
        <f>""</f>
        <v/>
      </c>
      <c r="CD278" t="str">
        <f>""</f>
        <v/>
      </c>
      <c r="CE278" t="str">
        <f>""</f>
        <v/>
      </c>
      <c r="CF278" t="str">
        <f>""</f>
        <v/>
      </c>
      <c r="CG278" t="str">
        <f>""</f>
        <v/>
      </c>
      <c r="CH278" t="str">
        <f>""</f>
        <v/>
      </c>
      <c r="CI278" t="str">
        <f>""</f>
        <v/>
      </c>
      <c r="CJ278" t="str">
        <f>""</f>
        <v/>
      </c>
      <c r="CK278" t="str">
        <f>""</f>
        <v/>
      </c>
      <c r="CL278" t="str">
        <f>""</f>
        <v/>
      </c>
      <c r="CM278" t="str">
        <f>""</f>
        <v/>
      </c>
      <c r="CN278" t="str">
        <f>""</f>
        <v/>
      </c>
      <c r="CO278" t="str">
        <f>""</f>
        <v/>
      </c>
      <c r="CP278" t="str">
        <f>""</f>
        <v/>
      </c>
      <c r="CQ278" t="str">
        <f>""</f>
        <v/>
      </c>
      <c r="CR278" t="str">
        <f>""</f>
        <v/>
      </c>
      <c r="CS278" t="str">
        <f>""</f>
        <v/>
      </c>
      <c r="CT278" t="str">
        <f>""</f>
        <v/>
      </c>
      <c r="CU278" t="str">
        <f>""</f>
        <v/>
      </c>
      <c r="CV278" t="str">
        <f>""</f>
        <v/>
      </c>
      <c r="CW278" t="str">
        <f>""</f>
        <v/>
      </c>
      <c r="CX278" t="str">
        <f>""</f>
        <v/>
      </c>
      <c r="CY278" t="str">
        <f>""</f>
        <v/>
      </c>
      <c r="CZ278" t="str">
        <f>""</f>
        <v/>
      </c>
      <c r="DA278" t="str">
        <f>""</f>
        <v/>
      </c>
      <c r="DB278" t="str">
        <f>""</f>
        <v/>
      </c>
      <c r="DC278" t="str">
        <f>""</f>
        <v/>
      </c>
      <c r="DD278" t="str">
        <f>""</f>
        <v/>
      </c>
      <c r="DE278" t="str">
        <f>""</f>
        <v/>
      </c>
      <c r="DF278" t="str">
        <f>""</f>
        <v/>
      </c>
      <c r="DG278" t="str">
        <f>""</f>
        <v/>
      </c>
      <c r="DH278" t="str">
        <f>""</f>
        <v/>
      </c>
      <c r="DI278" t="str">
        <f>""</f>
        <v/>
      </c>
      <c r="DJ278" t="str">
        <f>""</f>
        <v/>
      </c>
      <c r="DK278" t="str">
        <f>""</f>
        <v/>
      </c>
      <c r="DL278" t="str">
        <f>""</f>
        <v/>
      </c>
      <c r="DM278" t="str">
        <f>""</f>
        <v/>
      </c>
      <c r="DN278" t="str">
        <f>""</f>
        <v/>
      </c>
      <c r="DO278" t="str">
        <f>""</f>
        <v/>
      </c>
      <c r="DP278" t="str">
        <f>""</f>
        <v/>
      </c>
      <c r="DQ278" t="str">
        <f>""</f>
        <v/>
      </c>
      <c r="DR278" t="str">
        <f>""</f>
        <v/>
      </c>
      <c r="DS278" t="str">
        <f>""</f>
        <v/>
      </c>
      <c r="DT278" t="str">
        <f>""</f>
        <v/>
      </c>
      <c r="DU278" t="str">
        <f>""</f>
        <v/>
      </c>
    </row>
    <row r="279" spans="1:125" x14ac:dyDescent="0.25">
      <c r="A279" t="str">
        <f>"BDH snapshot header0"</f>
        <v>BDH snapshot header0</v>
      </c>
      <c r="B279">
        <f>IF(OR(ISERROR($C$279),ISBLANK($C$279),ISNUMBER(SEARCH("N/A",$C$279) ),ISERROR($C$280),ISBLANK($C$280)),0,1)</f>
        <v>0</v>
      </c>
      <c r="C279" t="str">
        <f>_xll.BDH($B$5,$C$5,$B$143,$B$277,"PER=CQ","Dts=S","DtFmt=FI", "rows=2","Dir=H","Points=60","Sort=R","Days=A","Fill=B","FX=USD" )</f>
        <v>#N/A Invalid Parameter: Invalid override field id specified</v>
      </c>
      <c r="BN279" t="str">
        <f>""</f>
        <v/>
      </c>
      <c r="BO279" t="str">
        <f>""</f>
        <v/>
      </c>
      <c r="BP279" t="str">
        <f>""</f>
        <v/>
      </c>
      <c r="BQ279" t="str">
        <f>""</f>
        <v/>
      </c>
      <c r="BR279" t="str">
        <f>""</f>
        <v/>
      </c>
      <c r="BS279" t="str">
        <f>""</f>
        <v/>
      </c>
      <c r="BT279" t="str">
        <f>""</f>
        <v/>
      </c>
      <c r="BU279" t="str">
        <f>""</f>
        <v/>
      </c>
      <c r="BV279" t="str">
        <f>""</f>
        <v/>
      </c>
      <c r="BW279" t="str">
        <f>""</f>
        <v/>
      </c>
      <c r="BX279" t="str">
        <f>""</f>
        <v/>
      </c>
      <c r="BY279" t="str">
        <f>""</f>
        <v/>
      </c>
      <c r="BZ279" t="str">
        <f>""</f>
        <v/>
      </c>
      <c r="CA279" t="str">
        <f>""</f>
        <v/>
      </c>
      <c r="CB279" t="str">
        <f>""</f>
        <v/>
      </c>
      <c r="CC279" t="str">
        <f>""</f>
        <v/>
      </c>
      <c r="CD279" t="str">
        <f>""</f>
        <v/>
      </c>
      <c r="CE279" t="str">
        <f>""</f>
        <v/>
      </c>
      <c r="CF279" t="str">
        <f>""</f>
        <v/>
      </c>
      <c r="CG279" t="str">
        <f>""</f>
        <v/>
      </c>
      <c r="CH279" t="str">
        <f>""</f>
        <v/>
      </c>
      <c r="CI279" t="str">
        <f>""</f>
        <v/>
      </c>
      <c r="CJ279" t="str">
        <f>""</f>
        <v/>
      </c>
      <c r="CK279" t="str">
        <f>""</f>
        <v/>
      </c>
      <c r="CL279" t="str">
        <f>""</f>
        <v/>
      </c>
      <c r="CM279" t="str">
        <f>""</f>
        <v/>
      </c>
      <c r="CN279" t="str">
        <f>""</f>
        <v/>
      </c>
      <c r="CO279" t="str">
        <f>""</f>
        <v/>
      </c>
      <c r="CP279" t="str">
        <f>""</f>
        <v/>
      </c>
      <c r="CQ279" t="str">
        <f>""</f>
        <v/>
      </c>
      <c r="CR279" t="str">
        <f>""</f>
        <v/>
      </c>
      <c r="CS279" t="str">
        <f>""</f>
        <v/>
      </c>
      <c r="CT279" t="str">
        <f>""</f>
        <v/>
      </c>
      <c r="CU279" t="str">
        <f>""</f>
        <v/>
      </c>
      <c r="CV279" t="str">
        <f>""</f>
        <v/>
      </c>
      <c r="CW279" t="str">
        <f>""</f>
        <v/>
      </c>
      <c r="CX279" t="str">
        <f>""</f>
        <v/>
      </c>
      <c r="CY279" t="str">
        <f>""</f>
        <v/>
      </c>
      <c r="CZ279" t="str">
        <f>""</f>
        <v/>
      </c>
      <c r="DA279" t="str">
        <f>""</f>
        <v/>
      </c>
      <c r="DB279" t="str">
        <f>""</f>
        <v/>
      </c>
      <c r="DC279" t="str">
        <f>""</f>
        <v/>
      </c>
      <c r="DD279" t="str">
        <f>""</f>
        <v/>
      </c>
      <c r="DE279" t="str">
        <f>""</f>
        <v/>
      </c>
      <c r="DF279" t="str">
        <f>""</f>
        <v/>
      </c>
      <c r="DG279" t="str">
        <f>""</f>
        <v/>
      </c>
      <c r="DH279" t="str">
        <f>""</f>
        <v/>
      </c>
      <c r="DI279" t="str">
        <f>""</f>
        <v/>
      </c>
      <c r="DJ279" t="str">
        <f>""</f>
        <v/>
      </c>
      <c r="DK279" t="str">
        <f>""</f>
        <v/>
      </c>
      <c r="DL279" t="str">
        <f>""</f>
        <v/>
      </c>
      <c r="DM279" t="str">
        <f>""</f>
        <v/>
      </c>
      <c r="DN279" t="str">
        <f>""</f>
        <v/>
      </c>
      <c r="DO279" t="str">
        <f>""</f>
        <v/>
      </c>
      <c r="DP279" t="str">
        <f>""</f>
        <v/>
      </c>
      <c r="DQ279" t="str">
        <f>""</f>
        <v/>
      </c>
      <c r="DR279" t="str">
        <f>""</f>
        <v/>
      </c>
      <c r="DS279" t="str">
        <f>""</f>
        <v/>
      </c>
      <c r="DT279" t="str">
        <f>""</f>
        <v/>
      </c>
      <c r="DU279" t="str">
        <f>""</f>
        <v/>
      </c>
    </row>
    <row r="280" spans="1:125" x14ac:dyDescent="0.25">
      <c r="A280" t="str">
        <f>"BDH snapshot result0"</f>
        <v>BDH snapshot result0</v>
      </c>
      <c r="BN280" t="str">
        <f>""</f>
        <v/>
      </c>
      <c r="BO280" t="str">
        <f>""</f>
        <v/>
      </c>
      <c r="BP280" t="str">
        <f>""</f>
        <v/>
      </c>
      <c r="BQ280" t="str">
        <f>""</f>
        <v/>
      </c>
      <c r="BR280" t="str">
        <f>""</f>
        <v/>
      </c>
      <c r="BS280" t="str">
        <f>""</f>
        <v/>
      </c>
      <c r="BT280" t="str">
        <f>""</f>
        <v/>
      </c>
      <c r="BU280" t="str">
        <f>""</f>
        <v/>
      </c>
      <c r="BV280" t="str">
        <f>""</f>
        <v/>
      </c>
      <c r="BW280" t="str">
        <f>""</f>
        <v/>
      </c>
      <c r="BX280" t="str">
        <f>""</f>
        <v/>
      </c>
      <c r="BY280" t="str">
        <f>""</f>
        <v/>
      </c>
      <c r="BZ280" t="str">
        <f>""</f>
        <v/>
      </c>
      <c r="CA280" t="str">
        <f>""</f>
        <v/>
      </c>
      <c r="CB280" t="str">
        <f>""</f>
        <v/>
      </c>
      <c r="CC280" t="str">
        <f>""</f>
        <v/>
      </c>
      <c r="CD280" t="str">
        <f>""</f>
        <v/>
      </c>
      <c r="CE280" t="str">
        <f>""</f>
        <v/>
      </c>
      <c r="CF280" t="str">
        <f>""</f>
        <v/>
      </c>
      <c r="CG280" t="str">
        <f>""</f>
        <v/>
      </c>
      <c r="CH280" t="str">
        <f>""</f>
        <v/>
      </c>
      <c r="CI280" t="str">
        <f>""</f>
        <v/>
      </c>
      <c r="CJ280" t="str">
        <f>""</f>
        <v/>
      </c>
      <c r="CK280" t="str">
        <f>""</f>
        <v/>
      </c>
      <c r="CL280" t="str">
        <f>""</f>
        <v/>
      </c>
      <c r="CM280" t="str">
        <f>""</f>
        <v/>
      </c>
      <c r="CN280" t="str">
        <f>""</f>
        <v/>
      </c>
      <c r="CO280" t="str">
        <f>""</f>
        <v/>
      </c>
      <c r="CP280" t="str">
        <f>""</f>
        <v/>
      </c>
      <c r="CQ280" t="str">
        <f>""</f>
        <v/>
      </c>
      <c r="CR280" t="str">
        <f>""</f>
        <v/>
      </c>
      <c r="CS280" t="str">
        <f>""</f>
        <v/>
      </c>
      <c r="CT280" t="str">
        <f>""</f>
        <v/>
      </c>
      <c r="CU280" t="str">
        <f>""</f>
        <v/>
      </c>
      <c r="CV280" t="str">
        <f>""</f>
        <v/>
      </c>
      <c r="CW280" t="str">
        <f>""</f>
        <v/>
      </c>
      <c r="CX280" t="str">
        <f>""</f>
        <v/>
      </c>
      <c r="CY280" t="str">
        <f>""</f>
        <v/>
      </c>
      <c r="CZ280" t="str">
        <f>""</f>
        <v/>
      </c>
      <c r="DA280" t="str">
        <f>""</f>
        <v/>
      </c>
      <c r="DB280" t="str">
        <f>""</f>
        <v/>
      </c>
      <c r="DC280" t="str">
        <f>""</f>
        <v/>
      </c>
      <c r="DD280" t="str">
        <f>""</f>
        <v/>
      </c>
      <c r="DE280" t="str">
        <f>""</f>
        <v/>
      </c>
      <c r="DF280" t="str">
        <f>""</f>
        <v/>
      </c>
      <c r="DG280" t="str">
        <f>""</f>
        <v/>
      </c>
      <c r="DH280" t="str">
        <f>""</f>
        <v/>
      </c>
      <c r="DI280" t="str">
        <f>""</f>
        <v/>
      </c>
      <c r="DJ280" t="str">
        <f>""</f>
        <v/>
      </c>
      <c r="DK280" t="str">
        <f>""</f>
        <v/>
      </c>
      <c r="DL280" t="str">
        <f>""</f>
        <v/>
      </c>
      <c r="DM280" t="str">
        <f>""</f>
        <v/>
      </c>
      <c r="DN280" t="str">
        <f>""</f>
        <v/>
      </c>
      <c r="DO280" t="str">
        <f>""</f>
        <v/>
      </c>
      <c r="DP280" t="str">
        <f>""</f>
        <v/>
      </c>
      <c r="DQ280" t="str">
        <f>""</f>
        <v/>
      </c>
      <c r="DR280" t="str">
        <f>""</f>
        <v/>
      </c>
      <c r="DS280" t="str">
        <f>""</f>
        <v/>
      </c>
      <c r="DT280" t="str">
        <f>""</f>
        <v/>
      </c>
      <c r="DU280" t="str">
        <f>""</f>
        <v/>
      </c>
    </row>
    <row r="281" spans="1:125" x14ac:dyDescent="0.25">
      <c r="A281" t="str">
        <f>"BDH snapshot header1"</f>
        <v>BDH snapshot header1</v>
      </c>
      <c r="B281">
        <f>IF(OR(ISERROR($C$281),ISBLANK($C$281),ISNUMBER(SEARCH("N/A",$C$281) ),ISERROR($C$282),ISBLANK($C$282)),0,1)</f>
        <v>0</v>
      </c>
      <c r="C281" t="str">
        <f>_xll.BDH($B$6,$C$6,$B$143,$B$277,"PER=CQ","Dts=S","DtFmt=FI", "rows=2","Dir=H","Points=60","Sort=R","Days=A","Fill=B","FX=USD" )</f>
        <v>#N/A Invalid Parameter: Invalid override field id specified</v>
      </c>
      <c r="BN281" t="str">
        <f>""</f>
        <v/>
      </c>
      <c r="BO281" t="str">
        <f>""</f>
        <v/>
      </c>
      <c r="BP281" t="str">
        <f>""</f>
        <v/>
      </c>
      <c r="BQ281" t="str">
        <f>""</f>
        <v/>
      </c>
      <c r="BR281" t="str">
        <f>""</f>
        <v/>
      </c>
      <c r="BS281" t="str">
        <f>""</f>
        <v/>
      </c>
      <c r="BT281" t="str">
        <f>""</f>
        <v/>
      </c>
      <c r="BU281" t="str">
        <f>""</f>
        <v/>
      </c>
      <c r="BV281" t="str">
        <f>""</f>
        <v/>
      </c>
      <c r="BW281" t="str">
        <f>""</f>
        <v/>
      </c>
      <c r="BX281" t="str">
        <f>""</f>
        <v/>
      </c>
      <c r="BY281" t="str">
        <f>""</f>
        <v/>
      </c>
      <c r="BZ281" t="str">
        <f>""</f>
        <v/>
      </c>
      <c r="CA281" t="str">
        <f>""</f>
        <v/>
      </c>
      <c r="CB281" t="str">
        <f>""</f>
        <v/>
      </c>
      <c r="CC281" t="str">
        <f>""</f>
        <v/>
      </c>
      <c r="CD281" t="str">
        <f>""</f>
        <v/>
      </c>
      <c r="CE281" t="str">
        <f>""</f>
        <v/>
      </c>
      <c r="CF281" t="str">
        <f>""</f>
        <v/>
      </c>
      <c r="CG281" t="str">
        <f>""</f>
        <v/>
      </c>
      <c r="CH281" t="str">
        <f>""</f>
        <v/>
      </c>
      <c r="CI281" t="str">
        <f>""</f>
        <v/>
      </c>
      <c r="CJ281" t="str">
        <f>""</f>
        <v/>
      </c>
      <c r="CK281" t="str">
        <f>""</f>
        <v/>
      </c>
      <c r="CL281" t="str">
        <f>""</f>
        <v/>
      </c>
      <c r="CM281" t="str">
        <f>""</f>
        <v/>
      </c>
      <c r="CN281" t="str">
        <f>""</f>
        <v/>
      </c>
      <c r="CO281" t="str">
        <f>""</f>
        <v/>
      </c>
      <c r="CP281" t="str">
        <f>""</f>
        <v/>
      </c>
      <c r="CQ281" t="str">
        <f>""</f>
        <v/>
      </c>
      <c r="CR281" t="str">
        <f>""</f>
        <v/>
      </c>
      <c r="CS281" t="str">
        <f>""</f>
        <v/>
      </c>
      <c r="CT281" t="str">
        <f>""</f>
        <v/>
      </c>
      <c r="CU281" t="str">
        <f>""</f>
        <v/>
      </c>
      <c r="CV281" t="str">
        <f>""</f>
        <v/>
      </c>
      <c r="CW281" t="str">
        <f>""</f>
        <v/>
      </c>
      <c r="CX281" t="str">
        <f>""</f>
        <v/>
      </c>
      <c r="CY281" t="str">
        <f>""</f>
        <v/>
      </c>
      <c r="CZ281" t="str">
        <f>""</f>
        <v/>
      </c>
      <c r="DA281" t="str">
        <f>""</f>
        <v/>
      </c>
      <c r="DB281" t="str">
        <f>""</f>
        <v/>
      </c>
      <c r="DC281" t="str">
        <f>""</f>
        <v/>
      </c>
      <c r="DD281" t="str">
        <f>""</f>
        <v/>
      </c>
      <c r="DE281" t="str">
        <f>""</f>
        <v/>
      </c>
      <c r="DF281" t="str">
        <f>""</f>
        <v/>
      </c>
      <c r="DG281" t="str">
        <f>""</f>
        <v/>
      </c>
      <c r="DH281" t="str">
        <f>""</f>
        <v/>
      </c>
      <c r="DI281" t="str">
        <f>""</f>
        <v/>
      </c>
      <c r="DJ281" t="str">
        <f>""</f>
        <v/>
      </c>
      <c r="DK281" t="str">
        <f>""</f>
        <v/>
      </c>
      <c r="DL281" t="str">
        <f>""</f>
        <v/>
      </c>
      <c r="DM281" t="str">
        <f>""</f>
        <v/>
      </c>
      <c r="DN281" t="str">
        <f>""</f>
        <v/>
      </c>
      <c r="DO281" t="str">
        <f>""</f>
        <v/>
      </c>
      <c r="DP281" t="str">
        <f>""</f>
        <v/>
      </c>
      <c r="DQ281" t="str">
        <f>""</f>
        <v/>
      </c>
      <c r="DR281" t="str">
        <f>""</f>
        <v/>
      </c>
      <c r="DS281" t="str">
        <f>""</f>
        <v/>
      </c>
      <c r="DT281" t="str">
        <f>""</f>
        <v/>
      </c>
      <c r="DU281" t="str">
        <f>""</f>
        <v/>
      </c>
    </row>
    <row r="282" spans="1:125" x14ac:dyDescent="0.25">
      <c r="A282" t="str">
        <f>"BDH snapshot result1"</f>
        <v>BDH snapshot result1</v>
      </c>
      <c r="BN282" t="str">
        <f>""</f>
        <v/>
      </c>
      <c r="BO282" t="str">
        <f>""</f>
        <v/>
      </c>
      <c r="BP282" t="str">
        <f>""</f>
        <v/>
      </c>
      <c r="BQ282" t="str">
        <f>""</f>
        <v/>
      </c>
      <c r="BR282" t="str">
        <f>""</f>
        <v/>
      </c>
      <c r="BS282" t="str">
        <f>""</f>
        <v/>
      </c>
      <c r="BT282" t="str">
        <f>""</f>
        <v/>
      </c>
      <c r="BU282" t="str">
        <f>""</f>
        <v/>
      </c>
      <c r="BV282" t="str">
        <f>""</f>
        <v/>
      </c>
      <c r="BW282" t="str">
        <f>""</f>
        <v/>
      </c>
      <c r="BX282" t="str">
        <f>""</f>
        <v/>
      </c>
      <c r="BY282" t="str">
        <f>""</f>
        <v/>
      </c>
      <c r="BZ282" t="str">
        <f>""</f>
        <v/>
      </c>
      <c r="CA282" t="str">
        <f>""</f>
        <v/>
      </c>
      <c r="CB282" t="str">
        <f>""</f>
        <v/>
      </c>
      <c r="CC282" t="str">
        <f>""</f>
        <v/>
      </c>
      <c r="CD282" t="str">
        <f>""</f>
        <v/>
      </c>
      <c r="CE282" t="str">
        <f>""</f>
        <v/>
      </c>
      <c r="CF282" t="str">
        <f>""</f>
        <v/>
      </c>
      <c r="CG282" t="str">
        <f>""</f>
        <v/>
      </c>
      <c r="CH282" t="str">
        <f>""</f>
        <v/>
      </c>
      <c r="CI282" t="str">
        <f>""</f>
        <v/>
      </c>
      <c r="CJ282" t="str">
        <f>""</f>
        <v/>
      </c>
      <c r="CK282" t="str">
        <f>""</f>
        <v/>
      </c>
      <c r="CL282" t="str">
        <f>""</f>
        <v/>
      </c>
      <c r="CM282" t="str">
        <f>""</f>
        <v/>
      </c>
      <c r="CN282" t="str">
        <f>""</f>
        <v/>
      </c>
      <c r="CO282" t="str">
        <f>""</f>
        <v/>
      </c>
      <c r="CP282" t="str">
        <f>""</f>
        <v/>
      </c>
      <c r="CQ282" t="str">
        <f>""</f>
        <v/>
      </c>
      <c r="CR282" t="str">
        <f>""</f>
        <v/>
      </c>
      <c r="CS282" t="str">
        <f>""</f>
        <v/>
      </c>
      <c r="CT282" t="str">
        <f>""</f>
        <v/>
      </c>
      <c r="CU282" t="str">
        <f>""</f>
        <v/>
      </c>
      <c r="CV282" t="str">
        <f>""</f>
        <v/>
      </c>
      <c r="CW282" t="str">
        <f>""</f>
        <v/>
      </c>
      <c r="CX282" t="str">
        <f>""</f>
        <v/>
      </c>
      <c r="CY282" t="str">
        <f>""</f>
        <v/>
      </c>
      <c r="CZ282" t="str">
        <f>""</f>
        <v/>
      </c>
      <c r="DA282" t="str">
        <f>""</f>
        <v/>
      </c>
      <c r="DB282" t="str">
        <f>""</f>
        <v/>
      </c>
      <c r="DC282" t="str">
        <f>""</f>
        <v/>
      </c>
      <c r="DD282" t="str">
        <f>""</f>
        <v/>
      </c>
      <c r="DE282" t="str">
        <f>""</f>
        <v/>
      </c>
      <c r="DF282" t="str">
        <f>""</f>
        <v/>
      </c>
      <c r="DG282" t="str">
        <f>""</f>
        <v/>
      </c>
      <c r="DH282" t="str">
        <f>""</f>
        <v/>
      </c>
      <c r="DI282" t="str">
        <f>""</f>
        <v/>
      </c>
      <c r="DJ282" t="str">
        <f>""</f>
        <v/>
      </c>
      <c r="DK282" t="str">
        <f>""</f>
        <v/>
      </c>
      <c r="DL282" t="str">
        <f>""</f>
        <v/>
      </c>
      <c r="DM282" t="str">
        <f>""</f>
        <v/>
      </c>
      <c r="DN282" t="str">
        <f>""</f>
        <v/>
      </c>
      <c r="DO282" t="str">
        <f>""</f>
        <v/>
      </c>
      <c r="DP282" t="str">
        <f>""</f>
        <v/>
      </c>
      <c r="DQ282" t="str">
        <f>""</f>
        <v/>
      </c>
      <c r="DR282" t="str">
        <f>""</f>
        <v/>
      </c>
      <c r="DS282" t="str">
        <f>""</f>
        <v/>
      </c>
      <c r="DT282" t="str">
        <f>""</f>
        <v/>
      </c>
      <c r="DU282" t="str">
        <f>""</f>
        <v/>
      </c>
    </row>
    <row r="283" spans="1:125" x14ac:dyDescent="0.25">
      <c r="A283" t="str">
        <f>"BDH snapshot header2"</f>
        <v>BDH snapshot header2</v>
      </c>
      <c r="B283">
        <f>IF(OR(ISERROR($C$283),ISBLANK($C$283),ISNUMBER(SEARCH("N/A",$C$283) ),ISERROR($C$284),ISBLANK($C$284)),0,1)</f>
        <v>0</v>
      </c>
      <c r="C283" t="str">
        <f>_xll.BDH($B$7,$C$7,$B$143,$B$277,"PER=CQ","Dts=S","DtFmt=FI", "rows=2","Dir=H","Points=60","Sort=R","Days=A","Fill=B","FX=USD" )</f>
        <v>#N/A Invalid Parameter: Invalid override field id specified</v>
      </c>
      <c r="BN283" t="str">
        <f>""</f>
        <v/>
      </c>
      <c r="BO283" t="str">
        <f>""</f>
        <v/>
      </c>
      <c r="BP283" t="str">
        <f>""</f>
        <v/>
      </c>
      <c r="BQ283" t="str">
        <f>""</f>
        <v/>
      </c>
      <c r="BR283" t="str">
        <f>""</f>
        <v/>
      </c>
      <c r="BS283" t="str">
        <f>""</f>
        <v/>
      </c>
      <c r="BT283" t="str">
        <f>""</f>
        <v/>
      </c>
      <c r="BU283" t="str">
        <f>""</f>
        <v/>
      </c>
      <c r="BV283" t="str">
        <f>""</f>
        <v/>
      </c>
      <c r="BW283" t="str">
        <f>""</f>
        <v/>
      </c>
      <c r="BX283" t="str">
        <f>""</f>
        <v/>
      </c>
      <c r="BY283" t="str">
        <f>""</f>
        <v/>
      </c>
      <c r="BZ283" t="str">
        <f>""</f>
        <v/>
      </c>
      <c r="CA283" t="str">
        <f>""</f>
        <v/>
      </c>
      <c r="CB283" t="str">
        <f>""</f>
        <v/>
      </c>
      <c r="CC283" t="str">
        <f>""</f>
        <v/>
      </c>
      <c r="CD283" t="str">
        <f>""</f>
        <v/>
      </c>
      <c r="CE283" t="str">
        <f>""</f>
        <v/>
      </c>
      <c r="CF283" t="str">
        <f>""</f>
        <v/>
      </c>
      <c r="CG283" t="str">
        <f>""</f>
        <v/>
      </c>
      <c r="CH283" t="str">
        <f>""</f>
        <v/>
      </c>
      <c r="CI283" t="str">
        <f>""</f>
        <v/>
      </c>
      <c r="CJ283" t="str">
        <f>""</f>
        <v/>
      </c>
      <c r="CK283" t="str">
        <f>""</f>
        <v/>
      </c>
      <c r="CL283" t="str">
        <f>""</f>
        <v/>
      </c>
      <c r="CM283" t="str">
        <f>""</f>
        <v/>
      </c>
      <c r="CN283" t="str">
        <f>""</f>
        <v/>
      </c>
      <c r="CO283" t="str">
        <f>""</f>
        <v/>
      </c>
      <c r="CP283" t="str">
        <f>""</f>
        <v/>
      </c>
      <c r="CQ283" t="str">
        <f>""</f>
        <v/>
      </c>
      <c r="CR283" t="str">
        <f>""</f>
        <v/>
      </c>
      <c r="CS283" t="str">
        <f>""</f>
        <v/>
      </c>
      <c r="CT283" t="str">
        <f>""</f>
        <v/>
      </c>
      <c r="CU283" t="str">
        <f>""</f>
        <v/>
      </c>
      <c r="CV283" t="str">
        <f>""</f>
        <v/>
      </c>
      <c r="CW283" t="str">
        <f>""</f>
        <v/>
      </c>
      <c r="CX283" t="str">
        <f>""</f>
        <v/>
      </c>
      <c r="CY283" t="str">
        <f>""</f>
        <v/>
      </c>
      <c r="CZ283" t="str">
        <f>""</f>
        <v/>
      </c>
      <c r="DA283" t="str">
        <f>""</f>
        <v/>
      </c>
      <c r="DB283" t="str">
        <f>""</f>
        <v/>
      </c>
      <c r="DC283" t="str">
        <f>""</f>
        <v/>
      </c>
      <c r="DD283" t="str">
        <f>""</f>
        <v/>
      </c>
      <c r="DE283" t="str">
        <f>""</f>
        <v/>
      </c>
      <c r="DF283" t="str">
        <f>""</f>
        <v/>
      </c>
      <c r="DG283" t="str">
        <f>""</f>
        <v/>
      </c>
      <c r="DH283" t="str">
        <f>""</f>
        <v/>
      </c>
      <c r="DI283" t="str">
        <f>""</f>
        <v/>
      </c>
      <c r="DJ283" t="str">
        <f>""</f>
        <v/>
      </c>
      <c r="DK283" t="str">
        <f>""</f>
        <v/>
      </c>
      <c r="DL283" t="str">
        <f>""</f>
        <v/>
      </c>
      <c r="DM283" t="str">
        <f>""</f>
        <v/>
      </c>
      <c r="DN283" t="str">
        <f>""</f>
        <v/>
      </c>
      <c r="DO283" t="str">
        <f>""</f>
        <v/>
      </c>
      <c r="DP283" t="str">
        <f>""</f>
        <v/>
      </c>
      <c r="DQ283" t="str">
        <f>""</f>
        <v/>
      </c>
      <c r="DR283" t="str">
        <f>""</f>
        <v/>
      </c>
      <c r="DS283" t="str">
        <f>""</f>
        <v/>
      </c>
      <c r="DT283" t="str">
        <f>""</f>
        <v/>
      </c>
      <c r="DU283" t="str">
        <f>""</f>
        <v/>
      </c>
    </row>
    <row r="284" spans="1:125" x14ac:dyDescent="0.25">
      <c r="A284" t="str">
        <f>"BDH snapshot result2"</f>
        <v>BDH snapshot result2</v>
      </c>
      <c r="BN284" t="str">
        <f>""</f>
        <v/>
      </c>
      <c r="BO284" t="str">
        <f>""</f>
        <v/>
      </c>
      <c r="BP284" t="str">
        <f>""</f>
        <v/>
      </c>
      <c r="BQ284" t="str">
        <f>""</f>
        <v/>
      </c>
      <c r="BR284" t="str">
        <f>""</f>
        <v/>
      </c>
      <c r="BS284" t="str">
        <f>""</f>
        <v/>
      </c>
      <c r="BT284" t="str">
        <f>""</f>
        <v/>
      </c>
      <c r="BU284" t="str">
        <f>""</f>
        <v/>
      </c>
      <c r="BV284" t="str">
        <f>""</f>
        <v/>
      </c>
      <c r="BW284" t="str">
        <f>""</f>
        <v/>
      </c>
      <c r="BX284" t="str">
        <f>""</f>
        <v/>
      </c>
      <c r="BY284" t="str">
        <f>""</f>
        <v/>
      </c>
      <c r="BZ284" t="str">
        <f>""</f>
        <v/>
      </c>
      <c r="CA284" t="str">
        <f>""</f>
        <v/>
      </c>
      <c r="CB284" t="str">
        <f>""</f>
        <v/>
      </c>
      <c r="CC284" t="str">
        <f>""</f>
        <v/>
      </c>
      <c r="CD284" t="str">
        <f>""</f>
        <v/>
      </c>
      <c r="CE284" t="str">
        <f>""</f>
        <v/>
      </c>
      <c r="CF284" t="str">
        <f>""</f>
        <v/>
      </c>
      <c r="CG284" t="str">
        <f>""</f>
        <v/>
      </c>
      <c r="CH284" t="str">
        <f>""</f>
        <v/>
      </c>
      <c r="CI284" t="str">
        <f>""</f>
        <v/>
      </c>
      <c r="CJ284" t="str">
        <f>""</f>
        <v/>
      </c>
      <c r="CK284" t="str">
        <f>""</f>
        <v/>
      </c>
      <c r="CL284" t="str">
        <f>""</f>
        <v/>
      </c>
      <c r="CM284" t="str">
        <f>""</f>
        <v/>
      </c>
      <c r="CN284" t="str">
        <f>""</f>
        <v/>
      </c>
      <c r="CO284" t="str">
        <f>""</f>
        <v/>
      </c>
      <c r="CP284" t="str">
        <f>""</f>
        <v/>
      </c>
      <c r="CQ284" t="str">
        <f>""</f>
        <v/>
      </c>
      <c r="CR284" t="str">
        <f>""</f>
        <v/>
      </c>
      <c r="CS284" t="str">
        <f>""</f>
        <v/>
      </c>
      <c r="CT284" t="str">
        <f>""</f>
        <v/>
      </c>
      <c r="CU284" t="str">
        <f>""</f>
        <v/>
      </c>
      <c r="CV284" t="str">
        <f>""</f>
        <v/>
      </c>
      <c r="CW284" t="str">
        <f>""</f>
        <v/>
      </c>
      <c r="CX284" t="str">
        <f>""</f>
        <v/>
      </c>
      <c r="CY284" t="str">
        <f>""</f>
        <v/>
      </c>
      <c r="CZ284" t="str">
        <f>""</f>
        <v/>
      </c>
      <c r="DA284" t="str">
        <f>""</f>
        <v/>
      </c>
      <c r="DB284" t="str">
        <f>""</f>
        <v/>
      </c>
      <c r="DC284" t="str">
        <f>""</f>
        <v/>
      </c>
      <c r="DD284" t="str">
        <f>""</f>
        <v/>
      </c>
      <c r="DE284" t="str">
        <f>""</f>
        <v/>
      </c>
      <c r="DF284" t="str">
        <f>""</f>
        <v/>
      </c>
      <c r="DG284" t="str">
        <f>""</f>
        <v/>
      </c>
      <c r="DH284" t="str">
        <f>""</f>
        <v/>
      </c>
      <c r="DI284" t="str">
        <f>""</f>
        <v/>
      </c>
      <c r="DJ284" t="str">
        <f>""</f>
        <v/>
      </c>
      <c r="DK284" t="str">
        <f>""</f>
        <v/>
      </c>
      <c r="DL284" t="str">
        <f>""</f>
        <v/>
      </c>
      <c r="DM284" t="str">
        <f>""</f>
        <v/>
      </c>
      <c r="DN284" t="str">
        <f>""</f>
        <v/>
      </c>
      <c r="DO284" t="str">
        <f>""</f>
        <v/>
      </c>
      <c r="DP284" t="str">
        <f>""</f>
        <v/>
      </c>
      <c r="DQ284" t="str">
        <f>""</f>
        <v/>
      </c>
      <c r="DR284" t="str">
        <f>""</f>
        <v/>
      </c>
      <c r="DS284" t="str">
        <f>""</f>
        <v/>
      </c>
      <c r="DT284" t="str">
        <f>""</f>
        <v/>
      </c>
      <c r="DU284" t="str">
        <f>""</f>
        <v/>
      </c>
    </row>
    <row r="285" spans="1:125" x14ac:dyDescent="0.25">
      <c r="A285" t="str">
        <f>"BDH snapshot"</f>
        <v>BDH snapshot</v>
      </c>
      <c r="B285">
        <f>IF($B$279&gt;=1,$B$279,IF($B$281&gt;=1,$B$281,IF($B$283&gt;=1,$B$283,$B$278)))</f>
        <v>2</v>
      </c>
      <c r="C285" t="str">
        <f>IF($B$279&gt;=1,$C$279,IF($B$281&gt;=1,$C$281,IF($B$283&gt;=1,$C$283,$C$278)))</f>
        <v>2024 Q4</v>
      </c>
      <c r="D285" t="str">
        <f>IF($B$279&gt;=1,$D$279,IF($B$281&gt;=1,$D$281,IF($B$283&gt;=1,$D$283,$D$278)))</f>
        <v>2024 Q3</v>
      </c>
      <c r="E285" t="str">
        <f>IF($B$279&gt;=1,$E$279,IF($B$281&gt;=1,$E$281,IF($B$283&gt;=1,$E$283,$E$278)))</f>
        <v>2024 Q2</v>
      </c>
      <c r="F285" t="str">
        <f>IF($B$279&gt;=1,$F$279,IF($B$281&gt;=1,$F$281,IF($B$283&gt;=1,$F$283,$F$278)))</f>
        <v>2024 Q1</v>
      </c>
      <c r="G285" t="str">
        <f>IF($B$279&gt;=1,$G$279,IF($B$281&gt;=1,$G$281,IF($B$283&gt;=1,$G$283,$G$278)))</f>
        <v>2023 Q4</v>
      </c>
      <c r="H285" t="str">
        <f>IF($B$279&gt;=1,$H$279,IF($B$281&gt;=1,$H$281,IF($B$283&gt;=1,$H$283,$H$278)))</f>
        <v>2023 Q3</v>
      </c>
      <c r="I285" t="str">
        <f>IF($B$279&gt;=1,$I$279,IF($B$281&gt;=1,$I$281,IF($B$283&gt;=1,$I$283,$I$278)))</f>
        <v>2023 Q2</v>
      </c>
      <c r="J285" t="str">
        <f>IF($B$279&gt;=1,$J$279,IF($B$281&gt;=1,$J$281,IF($B$283&gt;=1,$J$283,$J$278)))</f>
        <v>2023 Q1</v>
      </c>
      <c r="K285" t="str">
        <f>IF($B$279&gt;=1,$K$279,IF($B$281&gt;=1,$K$281,IF($B$283&gt;=1,$K$283,$K$278)))</f>
        <v>2022 Q4</v>
      </c>
      <c r="L285" t="str">
        <f>IF($B$279&gt;=1,$L$279,IF($B$281&gt;=1,$L$281,IF($B$283&gt;=1,$L$283,$L$278)))</f>
        <v>2022 Q3</v>
      </c>
      <c r="M285" t="str">
        <f>IF($B$279&gt;=1,$M$279,IF($B$281&gt;=1,$M$281,IF($B$283&gt;=1,$M$283,$M$278)))</f>
        <v>2022 Q2</v>
      </c>
      <c r="N285" t="str">
        <f>IF($B$279&gt;=1,$N$279,IF($B$281&gt;=1,$N$281,IF($B$283&gt;=1,$N$283,$N$278)))</f>
        <v>2022 Q1</v>
      </c>
      <c r="O285" t="str">
        <f>IF($B$279&gt;=1,$O$279,IF($B$281&gt;=1,$O$281,IF($B$283&gt;=1,$O$283,$O$278)))</f>
        <v>2021 Q4</v>
      </c>
      <c r="P285" t="str">
        <f>IF($B$279&gt;=1,$P$279,IF($B$281&gt;=1,$P$281,IF($B$283&gt;=1,$P$283,$P$278)))</f>
        <v>2021 Q3</v>
      </c>
      <c r="Q285" t="str">
        <f>IF($B$279&gt;=1,$Q$279,IF($B$281&gt;=1,$Q$281,IF($B$283&gt;=1,$Q$283,$Q$278)))</f>
        <v>2021 Q2</v>
      </c>
      <c r="R285" t="str">
        <f>IF($B$279&gt;=1,$R$279,IF($B$281&gt;=1,$R$281,IF($B$283&gt;=1,$R$283,$R$278)))</f>
        <v>2021 Q1</v>
      </c>
      <c r="S285" t="str">
        <f>IF($B$279&gt;=1,$S$279,IF($B$281&gt;=1,$S$281,IF($B$283&gt;=1,$S$283,$S$278)))</f>
        <v>2020 Q4</v>
      </c>
      <c r="T285" t="str">
        <f>IF($B$279&gt;=1,$T$279,IF($B$281&gt;=1,$T$281,IF($B$283&gt;=1,$T$283,$T$278)))</f>
        <v>2020 Q3</v>
      </c>
      <c r="U285" t="str">
        <f>IF($B$279&gt;=1,$U$279,IF($B$281&gt;=1,$U$281,IF($B$283&gt;=1,$U$283,$U$278)))</f>
        <v>2020 Q2</v>
      </c>
      <c r="V285" t="str">
        <f>IF($B$279&gt;=1,$V$279,IF($B$281&gt;=1,$V$281,IF($B$283&gt;=1,$V$283,$V$278)))</f>
        <v>2020 Q1</v>
      </c>
      <c r="W285" t="str">
        <f>IF($B$279&gt;=1,$W$279,IF($B$281&gt;=1,$W$281,IF($B$283&gt;=1,$W$283,$W$278)))</f>
        <v>2019 Q4</v>
      </c>
      <c r="X285" t="str">
        <f>IF($B$279&gt;=1,$X$279,IF($B$281&gt;=1,$X$281,IF($B$283&gt;=1,$X$283,$X$278)))</f>
        <v>2019 Q3</v>
      </c>
      <c r="Y285" t="str">
        <f>IF($B$279&gt;=1,$Y$279,IF($B$281&gt;=1,$Y$281,IF($B$283&gt;=1,$Y$283,$Y$278)))</f>
        <v>2019 Q2</v>
      </c>
      <c r="Z285" t="str">
        <f>IF($B$279&gt;=1,$Z$279,IF($B$281&gt;=1,$Z$281,IF($B$283&gt;=1,$Z$283,$Z$278)))</f>
        <v>2019 Q1</v>
      </c>
      <c r="AA285" t="str">
        <f>IF($B$279&gt;=1,$AA$279,IF($B$281&gt;=1,$AA$281,IF($B$283&gt;=1,$AA$283,$AA$278)))</f>
        <v>2018 Q4</v>
      </c>
      <c r="AB285" t="str">
        <f>IF($B$279&gt;=1,$AB$279,IF($B$281&gt;=1,$AB$281,IF($B$283&gt;=1,$AB$283,$AB$278)))</f>
        <v>2018 Q3</v>
      </c>
      <c r="AC285" t="str">
        <f>IF($B$279&gt;=1,$AC$279,IF($B$281&gt;=1,$AC$281,IF($B$283&gt;=1,$AC$283,$AC$278)))</f>
        <v>2018 Q2</v>
      </c>
      <c r="AD285" t="str">
        <f>IF($B$279&gt;=1,$AD$279,IF($B$281&gt;=1,$AD$281,IF($B$283&gt;=1,$AD$283,$AD$278)))</f>
        <v>2018 Q1</v>
      </c>
      <c r="AE285" t="str">
        <f>IF($B$279&gt;=1,$AE$279,IF($B$281&gt;=1,$AE$281,IF($B$283&gt;=1,$AE$283,$AE$278)))</f>
        <v>2017 Q4</v>
      </c>
      <c r="AF285" t="str">
        <f>IF($B$279&gt;=1,$AF$279,IF($B$281&gt;=1,$AF$281,IF($B$283&gt;=1,$AF$283,$AF$278)))</f>
        <v>2017 Q3</v>
      </c>
      <c r="AG285" t="str">
        <f>IF($B$279&gt;=1,$AG$279,IF($B$281&gt;=1,$AG$281,IF($B$283&gt;=1,$AG$283,$AG$278)))</f>
        <v>2017 Q2</v>
      </c>
      <c r="AH285" t="str">
        <f>IF($B$279&gt;=1,$AH$279,IF($B$281&gt;=1,$AH$281,IF($B$283&gt;=1,$AH$283,$AH$278)))</f>
        <v>2017 Q1</v>
      </c>
      <c r="AI285" t="str">
        <f>IF($B$279&gt;=1,$AI$279,IF($B$281&gt;=1,$AI$281,IF($B$283&gt;=1,$AI$283,$AI$278)))</f>
        <v>2016 Q4</v>
      </c>
      <c r="AJ285" t="str">
        <f>IF($B$279&gt;=1,$AJ$279,IF($B$281&gt;=1,$AJ$281,IF($B$283&gt;=1,$AJ$283,$AJ$278)))</f>
        <v>2016 Q3</v>
      </c>
      <c r="AK285" t="str">
        <f>IF($B$279&gt;=1,$AK$279,IF($B$281&gt;=1,$AK$281,IF($B$283&gt;=1,$AK$283,$AK$278)))</f>
        <v>2016 Q2</v>
      </c>
      <c r="AL285" t="str">
        <f>IF($B$279&gt;=1,$AL$279,IF($B$281&gt;=1,$AL$281,IF($B$283&gt;=1,$AL$283,$AL$278)))</f>
        <v>2016 Q1</v>
      </c>
      <c r="AM285" t="str">
        <f>IF($B$279&gt;=1,$AM$279,IF($B$281&gt;=1,$AM$281,IF($B$283&gt;=1,$AM$283,$AM$278)))</f>
        <v>2015 Q4</v>
      </c>
      <c r="AN285" t="str">
        <f>IF($B$279&gt;=1,$AN$279,IF($B$281&gt;=1,$AN$281,IF($B$283&gt;=1,$AN$283,$AN$278)))</f>
        <v>2015 Q3</v>
      </c>
      <c r="AO285" t="str">
        <f>IF($B$279&gt;=1,$AO$279,IF($B$281&gt;=1,$AO$281,IF($B$283&gt;=1,$AO$283,$AO$278)))</f>
        <v>2015 Q2</v>
      </c>
      <c r="AP285" t="str">
        <f>IF($B$279&gt;=1,$AP$279,IF($B$281&gt;=1,$AP$281,IF($B$283&gt;=1,$AP$283,$AP$278)))</f>
        <v>2015 Q1</v>
      </c>
      <c r="AQ285" t="str">
        <f>IF($B$279&gt;=1,$AQ$279,IF($B$281&gt;=1,$AQ$281,IF($B$283&gt;=1,$AQ$283,$AQ$278)))</f>
        <v>2014 Q4</v>
      </c>
      <c r="AR285" t="str">
        <f>IF($B$279&gt;=1,$AR$279,IF($B$281&gt;=1,$AR$281,IF($B$283&gt;=1,$AR$283,$AR$278)))</f>
        <v>2014 Q3</v>
      </c>
      <c r="AS285" t="str">
        <f>IF($B$279&gt;=1,$AS$279,IF($B$281&gt;=1,$AS$281,IF($B$283&gt;=1,$AS$283,$AS$278)))</f>
        <v>2014 Q2</v>
      </c>
      <c r="AT285" t="str">
        <f>IF($B$279&gt;=1,$AT$279,IF($B$281&gt;=1,$AT$281,IF($B$283&gt;=1,$AT$283,$AT$278)))</f>
        <v>2014 Q1</v>
      </c>
      <c r="AU285" t="str">
        <f>IF($B$279&gt;=1,$AU$279,IF($B$281&gt;=1,$AU$281,IF($B$283&gt;=1,$AU$283,$AU$278)))</f>
        <v>2013 Q4</v>
      </c>
      <c r="AV285" t="str">
        <f>IF($B$279&gt;=1,$AV$279,IF($B$281&gt;=1,$AV$281,IF($B$283&gt;=1,$AV$283,$AV$278)))</f>
        <v>2013 Q3</v>
      </c>
      <c r="AW285" t="str">
        <f>IF($B$279&gt;=1,$AW$279,IF($B$281&gt;=1,$AW$281,IF($B$283&gt;=1,$AW$283,$AW$278)))</f>
        <v>2013 Q2</v>
      </c>
      <c r="AX285" t="str">
        <f>IF($B$279&gt;=1,$AX$279,IF($B$281&gt;=1,$AX$281,IF($B$283&gt;=1,$AX$283,$AX$278)))</f>
        <v>2013 Q1</v>
      </c>
      <c r="AY285" t="str">
        <f>IF($B$279&gt;=1,$AY$279,IF($B$281&gt;=1,$AY$281,IF($B$283&gt;=1,$AY$283,$AY$278)))</f>
        <v>2012 Q4</v>
      </c>
      <c r="AZ285" t="str">
        <f>IF($B$279&gt;=1,$AZ$279,IF($B$281&gt;=1,$AZ$281,IF($B$283&gt;=1,$AZ$283,$AZ$278)))</f>
        <v>2012 Q3</v>
      </c>
      <c r="BA285" t="str">
        <f>IF($B$279&gt;=1,$BA$279,IF($B$281&gt;=1,$BA$281,IF($B$283&gt;=1,$BA$283,$BA$278)))</f>
        <v>2012 Q2</v>
      </c>
      <c r="BB285" t="str">
        <f>IF($B$279&gt;=1,$BB$279,IF($B$281&gt;=1,$BB$281,IF($B$283&gt;=1,$BB$283,$BB$278)))</f>
        <v>2012 Q1</v>
      </c>
      <c r="BC285" t="str">
        <f>IF($B$279&gt;=1,$BC$279,IF($B$281&gt;=1,$BC$281,IF($B$283&gt;=1,$BC$283,$BC$278)))</f>
        <v>2011 Q4</v>
      </c>
      <c r="BD285" t="str">
        <f>IF($B$279&gt;=1,$BD$279,IF($B$281&gt;=1,$BD$281,IF($B$283&gt;=1,$BD$283,$BD$278)))</f>
        <v>2011 Q3</v>
      </c>
      <c r="BE285" t="str">
        <f>IF($B$279&gt;=1,$BE$279,IF($B$281&gt;=1,$BE$281,IF($B$283&gt;=1,$BE$283,$BE$278)))</f>
        <v>2011 Q2</v>
      </c>
      <c r="BF285" t="str">
        <f>IF($B$279&gt;=1,$BF$279,IF($B$281&gt;=1,$BF$281,IF($B$283&gt;=1,$BF$283,$BF$278)))</f>
        <v>2011 Q1</v>
      </c>
      <c r="BG285" t="str">
        <f>IF($B$279&gt;=1,$BG$279,IF($B$281&gt;=1,$BG$281,IF($B$283&gt;=1,$BG$283,$BG$278)))</f>
        <v>2010 Q4</v>
      </c>
      <c r="BH285" t="str">
        <f>IF($B$279&gt;=1,$BH$279,IF($B$281&gt;=1,$BH$281,IF($B$283&gt;=1,$BH$283,$BH$278)))</f>
        <v>2010 Q3</v>
      </c>
      <c r="BI285" t="str">
        <f>IF($B$279&gt;=1,$BI$279,IF($B$281&gt;=1,$BI$281,IF($B$283&gt;=1,$BI$283,$BI$278)))</f>
        <v>2010 Q2</v>
      </c>
      <c r="BJ285" t="str">
        <f>IF($B$279&gt;=1,$BJ$279,IF($B$281&gt;=1,$BJ$281,IF($B$283&gt;=1,$BJ$283,$BJ$278)))</f>
        <v>2010 Q1</v>
      </c>
      <c r="BN285" t="str">
        <f>""</f>
        <v/>
      </c>
      <c r="BO285" t="str">
        <f>""</f>
        <v/>
      </c>
      <c r="BP285" t="str">
        <f>""</f>
        <v/>
      </c>
      <c r="BQ285" t="str">
        <f>""</f>
        <v/>
      </c>
      <c r="BR285" t="str">
        <f>""</f>
        <v/>
      </c>
      <c r="BS285" t="str">
        <f>""</f>
        <v/>
      </c>
      <c r="BT285" t="str">
        <f>""</f>
        <v/>
      </c>
      <c r="BU285" t="str">
        <f>""</f>
        <v/>
      </c>
      <c r="BV285" t="str">
        <f>""</f>
        <v/>
      </c>
      <c r="BW285" t="str">
        <f>""</f>
        <v/>
      </c>
      <c r="BX285" t="str">
        <f>""</f>
        <v/>
      </c>
      <c r="BY285" t="str">
        <f>""</f>
        <v/>
      </c>
      <c r="BZ285" t="str">
        <f>""</f>
        <v/>
      </c>
      <c r="CA285" t="str">
        <f>""</f>
        <v/>
      </c>
      <c r="CB285" t="str">
        <f>""</f>
        <v/>
      </c>
      <c r="CC285" t="str">
        <f>""</f>
        <v/>
      </c>
      <c r="CD285" t="str">
        <f>""</f>
        <v/>
      </c>
      <c r="CE285" t="str">
        <f>""</f>
        <v/>
      </c>
      <c r="CF285" t="str">
        <f>""</f>
        <v/>
      </c>
      <c r="CG285" t="str">
        <f>""</f>
        <v/>
      </c>
      <c r="CH285" t="str">
        <f>""</f>
        <v/>
      </c>
      <c r="CI285" t="str">
        <f>""</f>
        <v/>
      </c>
      <c r="CJ285" t="str">
        <f>""</f>
        <v/>
      </c>
      <c r="CK285" t="str">
        <f>""</f>
        <v/>
      </c>
      <c r="CL285" t="str">
        <f>""</f>
        <v/>
      </c>
      <c r="CM285" t="str">
        <f>""</f>
        <v/>
      </c>
      <c r="CN285" t="str">
        <f>""</f>
        <v/>
      </c>
      <c r="CO285" t="str">
        <f>""</f>
        <v/>
      </c>
      <c r="CP285" t="str">
        <f>""</f>
        <v/>
      </c>
      <c r="CQ285" t="str">
        <f>""</f>
        <v/>
      </c>
      <c r="CR285" t="str">
        <f>""</f>
        <v/>
      </c>
      <c r="CS285" t="str">
        <f>""</f>
        <v/>
      </c>
      <c r="CT285" t="str">
        <f>""</f>
        <v/>
      </c>
      <c r="CU285" t="str">
        <f>""</f>
        <v/>
      </c>
      <c r="CV285" t="str">
        <f>""</f>
        <v/>
      </c>
      <c r="CW285" t="str">
        <f>""</f>
        <v/>
      </c>
      <c r="CX285" t="str">
        <f>""</f>
        <v/>
      </c>
      <c r="CY285" t="str">
        <f>""</f>
        <v/>
      </c>
      <c r="CZ285" t="str">
        <f>""</f>
        <v/>
      </c>
      <c r="DA285" t="str">
        <f>""</f>
        <v/>
      </c>
      <c r="DB285" t="str">
        <f>""</f>
        <v/>
      </c>
      <c r="DC285" t="str">
        <f>""</f>
        <v/>
      </c>
      <c r="DD285" t="str">
        <f>""</f>
        <v/>
      </c>
      <c r="DE285" t="str">
        <f>""</f>
        <v/>
      </c>
      <c r="DF285" t="str">
        <f>""</f>
        <v/>
      </c>
      <c r="DG285" t="str">
        <f>""</f>
        <v/>
      </c>
      <c r="DH285" t="str">
        <f>""</f>
        <v/>
      </c>
      <c r="DI285" t="str">
        <f>""</f>
        <v/>
      </c>
      <c r="DJ285" t="str">
        <f>""</f>
        <v/>
      </c>
      <c r="DK285" t="str">
        <f>""</f>
        <v/>
      </c>
      <c r="DL285" t="str">
        <f>""</f>
        <v/>
      </c>
      <c r="DM285" t="str">
        <f>""</f>
        <v/>
      </c>
      <c r="DN285" t="str">
        <f>""</f>
        <v/>
      </c>
      <c r="DO285" t="str">
        <f>""</f>
        <v/>
      </c>
      <c r="DP285" t="str">
        <f>""</f>
        <v/>
      </c>
      <c r="DQ285" t="str">
        <f>""</f>
        <v/>
      </c>
      <c r="DR285" t="str">
        <f>""</f>
        <v/>
      </c>
      <c r="DS285" t="str">
        <f>""</f>
        <v/>
      </c>
      <c r="DT285" t="str">
        <f>""</f>
        <v/>
      </c>
      <c r="DU285" t="str">
        <f>""</f>
        <v/>
      </c>
    </row>
    <row r="286" spans="1:125" x14ac:dyDescent="0.25">
      <c r="A286" t="str">
        <f>"BDH snapshot title"</f>
        <v>BDH snapshot title</v>
      </c>
      <c r="B286">
        <f>$B$285</f>
        <v>2</v>
      </c>
      <c r="C286" t="str">
        <f>IF(LEN($C$285)&lt;&gt;8,$C$285,RIGHT($C$285,4)&amp;" "&amp;MID($C$285,3,1)&amp;LEFT($C$285,1))</f>
        <v>2024 Q4</v>
      </c>
      <c r="D286" t="str">
        <f>IF(LEN($D$285)&lt;&gt;8,$D$285,RIGHT($D$285,4)&amp;" "&amp;MID($D$285,3,1)&amp;LEFT($D$285,1))</f>
        <v>2024 Q3</v>
      </c>
      <c r="E286" t="str">
        <f>IF(LEN($E$285)&lt;&gt;8,$E$285,RIGHT($E$285,4)&amp;" "&amp;MID($E$285,3,1)&amp;LEFT($E$285,1))</f>
        <v>2024 Q2</v>
      </c>
      <c r="F286" t="str">
        <f>IF(LEN($F$285)&lt;&gt;8,$F$285,RIGHT($F$285,4)&amp;" "&amp;MID($F$285,3,1)&amp;LEFT($F$285,1))</f>
        <v>2024 Q1</v>
      </c>
      <c r="G286" t="str">
        <f>IF(LEN($G$285)&lt;&gt;8,$G$285,RIGHT($G$285,4)&amp;" "&amp;MID($G$285,3,1)&amp;LEFT($G$285,1))</f>
        <v>2023 Q4</v>
      </c>
      <c r="H286" t="str">
        <f>IF(LEN($H$285)&lt;&gt;8,$H$285,RIGHT($H$285,4)&amp;" "&amp;MID($H$285,3,1)&amp;LEFT($H$285,1))</f>
        <v>2023 Q3</v>
      </c>
      <c r="I286" t="str">
        <f>IF(LEN($I$285)&lt;&gt;8,$I$285,RIGHT($I$285,4)&amp;" "&amp;MID($I$285,3,1)&amp;LEFT($I$285,1))</f>
        <v>2023 Q2</v>
      </c>
      <c r="J286" t="str">
        <f>IF(LEN($J$285)&lt;&gt;8,$J$285,RIGHT($J$285,4)&amp;" "&amp;MID($J$285,3,1)&amp;LEFT($J$285,1))</f>
        <v>2023 Q1</v>
      </c>
      <c r="K286" t="str">
        <f>IF(LEN($K$285)&lt;&gt;8,$K$285,RIGHT($K$285,4)&amp;" "&amp;MID($K$285,3,1)&amp;LEFT($K$285,1))</f>
        <v>2022 Q4</v>
      </c>
      <c r="L286" t="str">
        <f>IF(LEN($L$285)&lt;&gt;8,$L$285,RIGHT($L$285,4)&amp;" "&amp;MID($L$285,3,1)&amp;LEFT($L$285,1))</f>
        <v>2022 Q3</v>
      </c>
      <c r="M286" t="str">
        <f>IF(LEN($M$285)&lt;&gt;8,$M$285,RIGHT($M$285,4)&amp;" "&amp;MID($M$285,3,1)&amp;LEFT($M$285,1))</f>
        <v>2022 Q2</v>
      </c>
      <c r="N286" t="str">
        <f>IF(LEN($N$285)&lt;&gt;8,$N$285,RIGHT($N$285,4)&amp;" "&amp;MID($N$285,3,1)&amp;LEFT($N$285,1))</f>
        <v>2022 Q1</v>
      </c>
      <c r="O286" t="str">
        <f>IF(LEN($O$285)&lt;&gt;8,$O$285,RIGHT($O$285,4)&amp;" "&amp;MID($O$285,3,1)&amp;LEFT($O$285,1))</f>
        <v>2021 Q4</v>
      </c>
      <c r="P286" t="str">
        <f>IF(LEN($P$285)&lt;&gt;8,$P$285,RIGHT($P$285,4)&amp;" "&amp;MID($P$285,3,1)&amp;LEFT($P$285,1))</f>
        <v>2021 Q3</v>
      </c>
      <c r="Q286" t="str">
        <f>IF(LEN($Q$285)&lt;&gt;8,$Q$285,RIGHT($Q$285,4)&amp;" "&amp;MID($Q$285,3,1)&amp;LEFT($Q$285,1))</f>
        <v>2021 Q2</v>
      </c>
      <c r="R286" t="str">
        <f>IF(LEN($R$285)&lt;&gt;8,$R$285,RIGHT($R$285,4)&amp;" "&amp;MID($R$285,3,1)&amp;LEFT($R$285,1))</f>
        <v>2021 Q1</v>
      </c>
      <c r="S286" t="str">
        <f>IF(LEN($S$285)&lt;&gt;8,$S$285,RIGHT($S$285,4)&amp;" "&amp;MID($S$285,3,1)&amp;LEFT($S$285,1))</f>
        <v>2020 Q4</v>
      </c>
      <c r="T286" t="str">
        <f>IF(LEN($T$285)&lt;&gt;8,$T$285,RIGHT($T$285,4)&amp;" "&amp;MID($T$285,3,1)&amp;LEFT($T$285,1))</f>
        <v>2020 Q3</v>
      </c>
      <c r="U286" t="str">
        <f>IF(LEN($U$285)&lt;&gt;8,$U$285,RIGHT($U$285,4)&amp;" "&amp;MID($U$285,3,1)&amp;LEFT($U$285,1))</f>
        <v>2020 Q2</v>
      </c>
      <c r="V286" t="str">
        <f>IF(LEN($V$285)&lt;&gt;8,$V$285,RIGHT($V$285,4)&amp;" "&amp;MID($V$285,3,1)&amp;LEFT($V$285,1))</f>
        <v>2020 Q1</v>
      </c>
      <c r="W286" t="str">
        <f>IF(LEN($W$285)&lt;&gt;8,$W$285,RIGHT($W$285,4)&amp;" "&amp;MID($W$285,3,1)&amp;LEFT($W$285,1))</f>
        <v>2019 Q4</v>
      </c>
      <c r="X286" t="str">
        <f>IF(LEN($X$285)&lt;&gt;8,$X$285,RIGHT($X$285,4)&amp;" "&amp;MID($X$285,3,1)&amp;LEFT($X$285,1))</f>
        <v>2019 Q3</v>
      </c>
      <c r="Y286" t="str">
        <f>IF(LEN($Y$285)&lt;&gt;8,$Y$285,RIGHT($Y$285,4)&amp;" "&amp;MID($Y$285,3,1)&amp;LEFT($Y$285,1))</f>
        <v>2019 Q2</v>
      </c>
      <c r="Z286" t="str">
        <f>IF(LEN($Z$285)&lt;&gt;8,$Z$285,RIGHT($Z$285,4)&amp;" "&amp;MID($Z$285,3,1)&amp;LEFT($Z$285,1))</f>
        <v>2019 Q1</v>
      </c>
      <c r="AA286" t="str">
        <f>IF(LEN($AA$285)&lt;&gt;8,$AA$285,RIGHT($AA$285,4)&amp;" "&amp;MID($AA$285,3,1)&amp;LEFT($AA$285,1))</f>
        <v>2018 Q4</v>
      </c>
      <c r="AB286" t="str">
        <f>IF(LEN($AB$285)&lt;&gt;8,$AB$285,RIGHT($AB$285,4)&amp;" "&amp;MID($AB$285,3,1)&amp;LEFT($AB$285,1))</f>
        <v>2018 Q3</v>
      </c>
      <c r="AC286" t="str">
        <f>IF(LEN($AC$285)&lt;&gt;8,$AC$285,RIGHT($AC$285,4)&amp;" "&amp;MID($AC$285,3,1)&amp;LEFT($AC$285,1))</f>
        <v>2018 Q2</v>
      </c>
      <c r="AD286" t="str">
        <f>IF(LEN($AD$285)&lt;&gt;8,$AD$285,RIGHT($AD$285,4)&amp;" "&amp;MID($AD$285,3,1)&amp;LEFT($AD$285,1))</f>
        <v>2018 Q1</v>
      </c>
      <c r="AE286" t="str">
        <f>IF(LEN($AE$285)&lt;&gt;8,$AE$285,RIGHT($AE$285,4)&amp;" "&amp;MID($AE$285,3,1)&amp;LEFT($AE$285,1))</f>
        <v>2017 Q4</v>
      </c>
      <c r="AF286" t="str">
        <f>IF(LEN($AF$285)&lt;&gt;8,$AF$285,RIGHT($AF$285,4)&amp;" "&amp;MID($AF$285,3,1)&amp;LEFT($AF$285,1))</f>
        <v>2017 Q3</v>
      </c>
      <c r="AG286" t="str">
        <f>IF(LEN($AG$285)&lt;&gt;8,$AG$285,RIGHT($AG$285,4)&amp;" "&amp;MID($AG$285,3,1)&amp;LEFT($AG$285,1))</f>
        <v>2017 Q2</v>
      </c>
      <c r="AH286" t="str">
        <f>IF(LEN($AH$285)&lt;&gt;8,$AH$285,RIGHT($AH$285,4)&amp;" "&amp;MID($AH$285,3,1)&amp;LEFT($AH$285,1))</f>
        <v>2017 Q1</v>
      </c>
      <c r="AI286" t="str">
        <f>IF(LEN($AI$285)&lt;&gt;8,$AI$285,RIGHT($AI$285,4)&amp;" "&amp;MID($AI$285,3,1)&amp;LEFT($AI$285,1))</f>
        <v>2016 Q4</v>
      </c>
      <c r="AJ286" t="str">
        <f>IF(LEN($AJ$285)&lt;&gt;8,$AJ$285,RIGHT($AJ$285,4)&amp;" "&amp;MID($AJ$285,3,1)&amp;LEFT($AJ$285,1))</f>
        <v>2016 Q3</v>
      </c>
      <c r="AK286" t="str">
        <f>IF(LEN($AK$285)&lt;&gt;8,$AK$285,RIGHT($AK$285,4)&amp;" "&amp;MID($AK$285,3,1)&amp;LEFT($AK$285,1))</f>
        <v>2016 Q2</v>
      </c>
      <c r="AL286" t="str">
        <f>IF(LEN($AL$285)&lt;&gt;8,$AL$285,RIGHT($AL$285,4)&amp;" "&amp;MID($AL$285,3,1)&amp;LEFT($AL$285,1))</f>
        <v>2016 Q1</v>
      </c>
      <c r="AM286" t="str">
        <f>IF(LEN($AM$285)&lt;&gt;8,$AM$285,RIGHT($AM$285,4)&amp;" "&amp;MID($AM$285,3,1)&amp;LEFT($AM$285,1))</f>
        <v>2015 Q4</v>
      </c>
      <c r="AN286" t="str">
        <f>IF(LEN($AN$285)&lt;&gt;8,$AN$285,RIGHT($AN$285,4)&amp;" "&amp;MID($AN$285,3,1)&amp;LEFT($AN$285,1))</f>
        <v>2015 Q3</v>
      </c>
      <c r="AO286" t="str">
        <f>IF(LEN($AO$285)&lt;&gt;8,$AO$285,RIGHT($AO$285,4)&amp;" "&amp;MID($AO$285,3,1)&amp;LEFT($AO$285,1))</f>
        <v>2015 Q2</v>
      </c>
      <c r="AP286" t="str">
        <f>IF(LEN($AP$285)&lt;&gt;8,$AP$285,RIGHT($AP$285,4)&amp;" "&amp;MID($AP$285,3,1)&amp;LEFT($AP$285,1))</f>
        <v>2015 Q1</v>
      </c>
      <c r="AQ286" t="str">
        <f>IF(LEN($AQ$285)&lt;&gt;8,$AQ$285,RIGHT($AQ$285,4)&amp;" "&amp;MID($AQ$285,3,1)&amp;LEFT($AQ$285,1))</f>
        <v>2014 Q4</v>
      </c>
      <c r="AR286" t="str">
        <f>IF(LEN($AR$285)&lt;&gt;8,$AR$285,RIGHT($AR$285,4)&amp;" "&amp;MID($AR$285,3,1)&amp;LEFT($AR$285,1))</f>
        <v>2014 Q3</v>
      </c>
      <c r="AS286" t="str">
        <f>IF(LEN($AS$285)&lt;&gt;8,$AS$285,RIGHT($AS$285,4)&amp;" "&amp;MID($AS$285,3,1)&amp;LEFT($AS$285,1))</f>
        <v>2014 Q2</v>
      </c>
      <c r="AT286" t="str">
        <f>IF(LEN($AT$285)&lt;&gt;8,$AT$285,RIGHT($AT$285,4)&amp;" "&amp;MID($AT$285,3,1)&amp;LEFT($AT$285,1))</f>
        <v>2014 Q1</v>
      </c>
      <c r="AU286" t="str">
        <f>IF(LEN($AU$285)&lt;&gt;8,$AU$285,RIGHT($AU$285,4)&amp;" "&amp;MID($AU$285,3,1)&amp;LEFT($AU$285,1))</f>
        <v>2013 Q4</v>
      </c>
      <c r="AV286" t="str">
        <f>IF(LEN($AV$285)&lt;&gt;8,$AV$285,RIGHT($AV$285,4)&amp;" "&amp;MID($AV$285,3,1)&amp;LEFT($AV$285,1))</f>
        <v>2013 Q3</v>
      </c>
      <c r="AW286" t="str">
        <f>IF(LEN($AW$285)&lt;&gt;8,$AW$285,RIGHT($AW$285,4)&amp;" "&amp;MID($AW$285,3,1)&amp;LEFT($AW$285,1))</f>
        <v>2013 Q2</v>
      </c>
      <c r="AX286" t="str">
        <f>IF(LEN($AX$285)&lt;&gt;8,$AX$285,RIGHT($AX$285,4)&amp;" "&amp;MID($AX$285,3,1)&amp;LEFT($AX$285,1))</f>
        <v>2013 Q1</v>
      </c>
      <c r="AY286" t="str">
        <f>IF(LEN($AY$285)&lt;&gt;8,$AY$285,RIGHT($AY$285,4)&amp;" "&amp;MID($AY$285,3,1)&amp;LEFT($AY$285,1))</f>
        <v>2012 Q4</v>
      </c>
      <c r="AZ286" t="str">
        <f>IF(LEN($AZ$285)&lt;&gt;8,$AZ$285,RIGHT($AZ$285,4)&amp;" "&amp;MID($AZ$285,3,1)&amp;LEFT($AZ$285,1))</f>
        <v>2012 Q3</v>
      </c>
      <c r="BA286" t="str">
        <f>IF(LEN($BA$285)&lt;&gt;8,$BA$285,RIGHT($BA$285,4)&amp;" "&amp;MID($BA$285,3,1)&amp;LEFT($BA$285,1))</f>
        <v>2012 Q2</v>
      </c>
      <c r="BB286" t="str">
        <f>IF(LEN($BB$285)&lt;&gt;8,$BB$285,RIGHT($BB$285,4)&amp;" "&amp;MID($BB$285,3,1)&amp;LEFT($BB$285,1))</f>
        <v>2012 Q1</v>
      </c>
      <c r="BC286" t="str">
        <f>IF(LEN($BC$285)&lt;&gt;8,$BC$285,RIGHT($BC$285,4)&amp;" "&amp;MID($BC$285,3,1)&amp;LEFT($BC$285,1))</f>
        <v>2011 Q4</v>
      </c>
      <c r="BD286" t="str">
        <f>IF(LEN($BD$285)&lt;&gt;8,$BD$285,RIGHT($BD$285,4)&amp;" "&amp;MID($BD$285,3,1)&amp;LEFT($BD$285,1))</f>
        <v>2011 Q3</v>
      </c>
      <c r="BE286" t="str">
        <f>IF(LEN($BE$285)&lt;&gt;8,$BE$285,RIGHT($BE$285,4)&amp;" "&amp;MID($BE$285,3,1)&amp;LEFT($BE$285,1))</f>
        <v>2011 Q2</v>
      </c>
      <c r="BF286" t="str">
        <f>IF(LEN($BF$285)&lt;&gt;8,$BF$285,RIGHT($BF$285,4)&amp;" "&amp;MID($BF$285,3,1)&amp;LEFT($BF$285,1))</f>
        <v>2011 Q1</v>
      </c>
      <c r="BG286" t="str">
        <f>IF(LEN($BG$285)&lt;&gt;8,$BG$285,RIGHT($BG$285,4)&amp;" "&amp;MID($BG$285,3,1)&amp;LEFT($BG$285,1))</f>
        <v>2010 Q4</v>
      </c>
      <c r="BH286" t="str">
        <f>IF(LEN($BH$285)&lt;&gt;8,$BH$285,RIGHT($BH$285,4)&amp;" "&amp;MID($BH$285,3,1)&amp;LEFT($BH$285,1))</f>
        <v>2010 Q3</v>
      </c>
      <c r="BI286" t="str">
        <f>IF(LEN($BI$285)&lt;&gt;8,$BI$285,RIGHT($BI$285,4)&amp;" "&amp;MID($BI$285,3,1)&amp;LEFT($BI$285,1))</f>
        <v>2010 Q2</v>
      </c>
      <c r="BJ286" t="str">
        <f>IF(LEN($BJ$285)&lt;&gt;8,$BJ$285,RIGHT($BJ$285,4)&amp;" "&amp;MID($BJ$285,3,1)&amp;LEFT($BJ$285,1))</f>
        <v>2010 Q1</v>
      </c>
      <c r="BN286" t="str">
        <f>""</f>
        <v/>
      </c>
      <c r="BO286" t="str">
        <f>""</f>
        <v/>
      </c>
      <c r="BP286" t="str">
        <f>""</f>
        <v/>
      </c>
      <c r="BQ286" t="str">
        <f>""</f>
        <v/>
      </c>
      <c r="BR286" t="str">
        <f>""</f>
        <v/>
      </c>
      <c r="BS286" t="str">
        <f>""</f>
        <v/>
      </c>
      <c r="BT286" t="str">
        <f>""</f>
        <v/>
      </c>
      <c r="BU286" t="str">
        <f>""</f>
        <v/>
      </c>
      <c r="BV286" t="str">
        <f>""</f>
        <v/>
      </c>
      <c r="BW286" t="str">
        <f>""</f>
        <v/>
      </c>
      <c r="BX286" t="str">
        <f>""</f>
        <v/>
      </c>
      <c r="BY286" t="str">
        <f>""</f>
        <v/>
      </c>
      <c r="BZ286" t="str">
        <f>""</f>
        <v/>
      </c>
      <c r="CA286" t="str">
        <f>""</f>
        <v/>
      </c>
      <c r="CB286" t="str">
        <f>""</f>
        <v/>
      </c>
      <c r="CC286" t="str">
        <f>""</f>
        <v/>
      </c>
      <c r="CD286" t="str">
        <f>""</f>
        <v/>
      </c>
      <c r="CE286" t="str">
        <f>""</f>
        <v/>
      </c>
      <c r="CF286" t="str">
        <f>""</f>
        <v/>
      </c>
      <c r="CG286" t="str">
        <f>""</f>
        <v/>
      </c>
      <c r="CH286" t="str">
        <f>""</f>
        <v/>
      </c>
      <c r="CI286" t="str">
        <f>""</f>
        <v/>
      </c>
      <c r="CJ286" t="str">
        <f>""</f>
        <v/>
      </c>
      <c r="CK286" t="str">
        <f>""</f>
        <v/>
      </c>
      <c r="CL286" t="str">
        <f>""</f>
        <v/>
      </c>
      <c r="CM286" t="str">
        <f>""</f>
        <v/>
      </c>
      <c r="CN286" t="str">
        <f>""</f>
        <v/>
      </c>
      <c r="CO286" t="str">
        <f>""</f>
        <v/>
      </c>
      <c r="CP286" t="str">
        <f>""</f>
        <v/>
      </c>
      <c r="CQ286" t="str">
        <f>""</f>
        <v/>
      </c>
      <c r="CR286" t="str">
        <f>""</f>
        <v/>
      </c>
      <c r="CS286" t="str">
        <f>""</f>
        <v/>
      </c>
      <c r="CT286" t="str">
        <f>""</f>
        <v/>
      </c>
      <c r="CU286" t="str">
        <f>""</f>
        <v/>
      </c>
      <c r="CV286" t="str">
        <f>""</f>
        <v/>
      </c>
      <c r="CW286" t="str">
        <f>""</f>
        <v/>
      </c>
      <c r="CX286" t="str">
        <f>""</f>
        <v/>
      </c>
      <c r="CY286" t="str">
        <f>""</f>
        <v/>
      </c>
      <c r="CZ286" t="str">
        <f>""</f>
        <v/>
      </c>
      <c r="DA286" t="str">
        <f>""</f>
        <v/>
      </c>
      <c r="DB286" t="str">
        <f>""</f>
        <v/>
      </c>
      <c r="DC286" t="str">
        <f>""</f>
        <v/>
      </c>
      <c r="DD286" t="str">
        <f>""</f>
        <v/>
      </c>
      <c r="DE286" t="str">
        <f>""</f>
        <v/>
      </c>
      <c r="DF286" t="str">
        <f>""</f>
        <v/>
      </c>
      <c r="DG286" t="str">
        <f>""</f>
        <v/>
      </c>
      <c r="DH286" t="str">
        <f>""</f>
        <v/>
      </c>
      <c r="DI286" t="str">
        <f>""</f>
        <v/>
      </c>
      <c r="DJ286" t="str">
        <f>""</f>
        <v/>
      </c>
      <c r="DK286" t="str">
        <f>""</f>
        <v/>
      </c>
      <c r="DL286" t="str">
        <f>""</f>
        <v/>
      </c>
      <c r="DM286" t="str">
        <f>""</f>
        <v/>
      </c>
      <c r="DN286" t="str">
        <f>""</f>
        <v/>
      </c>
      <c r="DO286" t="str">
        <f>""</f>
        <v/>
      </c>
      <c r="DP286" t="str">
        <f>""</f>
        <v/>
      </c>
      <c r="DQ286" t="str">
        <f>""</f>
        <v/>
      </c>
      <c r="DR286" t="str">
        <f>""</f>
        <v/>
      </c>
      <c r="DS286" t="str">
        <f>""</f>
        <v/>
      </c>
      <c r="DT286" t="str">
        <f>""</f>
        <v/>
      </c>
      <c r="DU286" t="str">
        <f>""</f>
        <v/>
      </c>
    </row>
    <row r="287" spans="1:125" x14ac:dyDescent="0.25">
      <c r="A287" t="str">
        <f>"BDH dynamic header0"</f>
        <v>BDH dynamic header0</v>
      </c>
      <c r="B287">
        <f ca="1">IF(OR(ISERROR($C$287),ISBLANK($C$287),ISNUMBER(SEARCH("N/A",$C$287) ),ISERROR($C$288),ISBLANK($C$288)),0,1)</f>
        <v>0</v>
      </c>
      <c r="C287" t="str">
        <f ca="1">_xll.BDH($B$5,$C$5,$B$143,$B$144,"PER=CQ","Dts=S","DtFmt=FI", "rows=2","Dir=H","Points=60","Sort=R","Days=A","Fill=B","FX=USD" )</f>
        <v>#N/A Invalid Parameter: Invalid override field id specified</v>
      </c>
      <c r="BN287" t="str">
        <f>""</f>
        <v/>
      </c>
      <c r="BO287" t="str">
        <f>""</f>
        <v/>
      </c>
      <c r="BP287" t="str">
        <f>""</f>
        <v/>
      </c>
      <c r="BQ287" t="str">
        <f>""</f>
        <v/>
      </c>
      <c r="BR287" t="str">
        <f>""</f>
        <v/>
      </c>
      <c r="BS287" t="str">
        <f>""</f>
        <v/>
      </c>
      <c r="BT287" t="str">
        <f>""</f>
        <v/>
      </c>
      <c r="BU287" t="str">
        <f>""</f>
        <v/>
      </c>
      <c r="BV287" t="str">
        <f>""</f>
        <v/>
      </c>
      <c r="BW287" t="str">
        <f>""</f>
        <v/>
      </c>
      <c r="BX287" t="str">
        <f>""</f>
        <v/>
      </c>
      <c r="BY287" t="str">
        <f>""</f>
        <v/>
      </c>
      <c r="BZ287" t="str">
        <f>""</f>
        <v/>
      </c>
      <c r="CA287" t="str">
        <f>""</f>
        <v/>
      </c>
      <c r="CB287" t="str">
        <f>""</f>
        <v/>
      </c>
      <c r="CC287" t="str">
        <f>""</f>
        <v/>
      </c>
      <c r="CD287" t="str">
        <f>""</f>
        <v/>
      </c>
      <c r="CE287" t="str">
        <f>""</f>
        <v/>
      </c>
      <c r="CF287" t="str">
        <f>""</f>
        <v/>
      </c>
      <c r="CG287" t="str">
        <f>""</f>
        <v/>
      </c>
      <c r="CH287" t="str">
        <f>""</f>
        <v/>
      </c>
      <c r="CI287" t="str">
        <f>""</f>
        <v/>
      </c>
      <c r="CJ287" t="str">
        <f>""</f>
        <v/>
      </c>
      <c r="CK287" t="str">
        <f>""</f>
        <v/>
      </c>
      <c r="CL287" t="str">
        <f>""</f>
        <v/>
      </c>
      <c r="CM287" t="str">
        <f>""</f>
        <v/>
      </c>
      <c r="CN287" t="str">
        <f>""</f>
        <v/>
      </c>
      <c r="CO287" t="str">
        <f>""</f>
        <v/>
      </c>
      <c r="CP287" t="str">
        <f>""</f>
        <v/>
      </c>
      <c r="CQ287" t="str">
        <f>""</f>
        <v/>
      </c>
      <c r="CR287" t="str">
        <f>""</f>
        <v/>
      </c>
      <c r="CS287" t="str">
        <f>""</f>
        <v/>
      </c>
      <c r="CT287" t="str">
        <f>""</f>
        <v/>
      </c>
      <c r="CU287" t="str">
        <f>""</f>
        <v/>
      </c>
      <c r="CV287" t="str">
        <f>""</f>
        <v/>
      </c>
      <c r="CW287" t="str">
        <f>""</f>
        <v/>
      </c>
      <c r="CX287" t="str">
        <f>""</f>
        <v/>
      </c>
      <c r="CY287" t="str">
        <f>""</f>
        <v/>
      </c>
      <c r="CZ287" t="str">
        <f>""</f>
        <v/>
      </c>
      <c r="DA287" t="str">
        <f>""</f>
        <v/>
      </c>
      <c r="DB287" t="str">
        <f>""</f>
        <v/>
      </c>
      <c r="DC287" t="str">
        <f>""</f>
        <v/>
      </c>
      <c r="DD287" t="str">
        <f>""</f>
        <v/>
      </c>
      <c r="DE287" t="str">
        <f>""</f>
        <v/>
      </c>
      <c r="DF287" t="str">
        <f>""</f>
        <v/>
      </c>
      <c r="DG287" t="str">
        <f>""</f>
        <v/>
      </c>
      <c r="DH287" t="str">
        <f>""</f>
        <v/>
      </c>
      <c r="DI287" t="str">
        <f>""</f>
        <v/>
      </c>
      <c r="DJ287" t="str">
        <f>""</f>
        <v/>
      </c>
      <c r="DK287" t="str">
        <f>""</f>
        <v/>
      </c>
      <c r="DL287" t="str">
        <f>""</f>
        <v/>
      </c>
      <c r="DM287" t="str">
        <f>""</f>
        <v/>
      </c>
      <c r="DN287" t="str">
        <f>""</f>
        <v/>
      </c>
      <c r="DO287" t="str">
        <f>""</f>
        <v/>
      </c>
      <c r="DP287" t="str">
        <f>""</f>
        <v/>
      </c>
      <c r="DQ287" t="str">
        <f>""</f>
        <v/>
      </c>
      <c r="DR287" t="str">
        <f>""</f>
        <v/>
      </c>
      <c r="DS287" t="str">
        <f>""</f>
        <v/>
      </c>
      <c r="DT287" t="str">
        <f>""</f>
        <v/>
      </c>
      <c r="DU287" t="str">
        <f>""</f>
        <v/>
      </c>
    </row>
    <row r="288" spans="1:125" x14ac:dyDescent="0.25">
      <c r="A288" t="str">
        <f>"BDH dynamic result0"</f>
        <v>BDH dynamic result0</v>
      </c>
      <c r="BN288" t="str">
        <f>""</f>
        <v/>
      </c>
      <c r="BO288" t="str">
        <f>""</f>
        <v/>
      </c>
      <c r="BP288" t="str">
        <f>""</f>
        <v/>
      </c>
      <c r="BQ288" t="str">
        <f>""</f>
        <v/>
      </c>
      <c r="BR288" t="str">
        <f>""</f>
        <v/>
      </c>
      <c r="BS288" t="str">
        <f>""</f>
        <v/>
      </c>
      <c r="BT288" t="str">
        <f>""</f>
        <v/>
      </c>
      <c r="BU288" t="str">
        <f>""</f>
        <v/>
      </c>
      <c r="BV288" t="str">
        <f>""</f>
        <v/>
      </c>
      <c r="BW288" t="str">
        <f>""</f>
        <v/>
      </c>
      <c r="BX288" t="str">
        <f>""</f>
        <v/>
      </c>
      <c r="BY288" t="str">
        <f>""</f>
        <v/>
      </c>
      <c r="BZ288" t="str">
        <f>""</f>
        <v/>
      </c>
      <c r="CA288" t="str">
        <f>""</f>
        <v/>
      </c>
      <c r="CB288" t="str">
        <f>""</f>
        <v/>
      </c>
      <c r="CC288" t="str">
        <f>""</f>
        <v/>
      </c>
      <c r="CD288" t="str">
        <f>""</f>
        <v/>
      </c>
      <c r="CE288" t="str">
        <f>""</f>
        <v/>
      </c>
      <c r="CF288" t="str">
        <f>""</f>
        <v/>
      </c>
      <c r="CG288" t="str">
        <f>""</f>
        <v/>
      </c>
      <c r="CH288" t="str">
        <f>""</f>
        <v/>
      </c>
      <c r="CI288" t="str">
        <f>""</f>
        <v/>
      </c>
      <c r="CJ288" t="str">
        <f>""</f>
        <v/>
      </c>
      <c r="CK288" t="str">
        <f>""</f>
        <v/>
      </c>
      <c r="CL288" t="str">
        <f>""</f>
        <v/>
      </c>
      <c r="CM288" t="str">
        <f>""</f>
        <v/>
      </c>
      <c r="CN288" t="str">
        <f>""</f>
        <v/>
      </c>
      <c r="CO288" t="str">
        <f>""</f>
        <v/>
      </c>
      <c r="CP288" t="str">
        <f>""</f>
        <v/>
      </c>
      <c r="CQ288" t="str">
        <f>""</f>
        <v/>
      </c>
      <c r="CR288" t="str">
        <f>""</f>
        <v/>
      </c>
      <c r="CS288" t="str">
        <f>""</f>
        <v/>
      </c>
      <c r="CT288" t="str">
        <f>""</f>
        <v/>
      </c>
      <c r="CU288" t="str">
        <f>""</f>
        <v/>
      </c>
      <c r="CV288" t="str">
        <f>""</f>
        <v/>
      </c>
      <c r="CW288" t="str">
        <f>""</f>
        <v/>
      </c>
      <c r="CX288" t="str">
        <f>""</f>
        <v/>
      </c>
      <c r="CY288" t="str">
        <f>""</f>
        <v/>
      </c>
      <c r="CZ288" t="str">
        <f>""</f>
        <v/>
      </c>
      <c r="DA288" t="str">
        <f>""</f>
        <v/>
      </c>
      <c r="DB288" t="str">
        <f>""</f>
        <v/>
      </c>
      <c r="DC288" t="str">
        <f>""</f>
        <v/>
      </c>
      <c r="DD288" t="str">
        <f>""</f>
        <v/>
      </c>
      <c r="DE288" t="str">
        <f>""</f>
        <v/>
      </c>
      <c r="DF288" t="str">
        <f>""</f>
        <v/>
      </c>
      <c r="DG288" t="str">
        <f>""</f>
        <v/>
      </c>
      <c r="DH288" t="str">
        <f>""</f>
        <v/>
      </c>
      <c r="DI288" t="str">
        <f>""</f>
        <v/>
      </c>
      <c r="DJ288" t="str">
        <f>""</f>
        <v/>
      </c>
      <c r="DK288" t="str">
        <f>""</f>
        <v/>
      </c>
      <c r="DL288" t="str">
        <f>""</f>
        <v/>
      </c>
      <c r="DM288" t="str">
        <f>""</f>
        <v/>
      </c>
      <c r="DN288" t="str">
        <f>""</f>
        <v/>
      </c>
      <c r="DO288" t="str">
        <f>""</f>
        <v/>
      </c>
      <c r="DP288" t="str">
        <f>""</f>
        <v/>
      </c>
      <c r="DQ288" t="str">
        <f>""</f>
        <v/>
      </c>
      <c r="DR288" t="str">
        <f>""</f>
        <v/>
      </c>
      <c r="DS288" t="str">
        <f>""</f>
        <v/>
      </c>
      <c r="DT288" t="str">
        <f>""</f>
        <v/>
      </c>
      <c r="DU288" t="str">
        <f>""</f>
        <v/>
      </c>
    </row>
    <row r="289" spans="1:125" x14ac:dyDescent="0.25">
      <c r="A289" t="str">
        <f>"BDH dynamic header1"</f>
        <v>BDH dynamic header1</v>
      </c>
      <c r="B289">
        <f ca="1">IF(OR(ISERROR($C$289),ISBLANK($C$289),ISNUMBER(SEARCH("N/A",$C$289) ),ISERROR($C$290),ISBLANK($C$290)),0,1)</f>
        <v>0</v>
      </c>
      <c r="C289" t="str">
        <f ca="1">_xll.BDH($B$6,$C$6,$B$143,$B$144,"PER=CQ","Dts=S","DtFmt=FI", "rows=2","Dir=H","Points=60","Sort=R","Days=A","Fill=B","FX=USD" )</f>
        <v>#N/A Invalid Parameter: Invalid override field id specified</v>
      </c>
      <c r="BN289" t="str">
        <f>""</f>
        <v/>
      </c>
      <c r="BO289" t="str">
        <f>""</f>
        <v/>
      </c>
      <c r="BP289" t="str">
        <f>""</f>
        <v/>
      </c>
      <c r="BQ289" t="str">
        <f>""</f>
        <v/>
      </c>
      <c r="BR289" t="str">
        <f>""</f>
        <v/>
      </c>
      <c r="BS289" t="str">
        <f>""</f>
        <v/>
      </c>
      <c r="BT289" t="str">
        <f>""</f>
        <v/>
      </c>
      <c r="BU289" t="str">
        <f>""</f>
        <v/>
      </c>
      <c r="BV289" t="str">
        <f>""</f>
        <v/>
      </c>
      <c r="BW289" t="str">
        <f>""</f>
        <v/>
      </c>
      <c r="BX289" t="str">
        <f>""</f>
        <v/>
      </c>
      <c r="BY289" t="str">
        <f>""</f>
        <v/>
      </c>
      <c r="BZ289" t="str">
        <f>""</f>
        <v/>
      </c>
      <c r="CA289" t="str">
        <f>""</f>
        <v/>
      </c>
      <c r="CB289" t="str">
        <f>""</f>
        <v/>
      </c>
      <c r="CC289" t="str">
        <f>""</f>
        <v/>
      </c>
      <c r="CD289" t="str">
        <f>""</f>
        <v/>
      </c>
      <c r="CE289" t="str">
        <f>""</f>
        <v/>
      </c>
      <c r="CF289" t="str">
        <f>""</f>
        <v/>
      </c>
      <c r="CG289" t="str">
        <f>""</f>
        <v/>
      </c>
      <c r="CH289" t="str">
        <f>""</f>
        <v/>
      </c>
      <c r="CI289" t="str">
        <f>""</f>
        <v/>
      </c>
      <c r="CJ289" t="str">
        <f>""</f>
        <v/>
      </c>
      <c r="CK289" t="str">
        <f>""</f>
        <v/>
      </c>
      <c r="CL289" t="str">
        <f>""</f>
        <v/>
      </c>
      <c r="CM289" t="str">
        <f>""</f>
        <v/>
      </c>
      <c r="CN289" t="str">
        <f>""</f>
        <v/>
      </c>
      <c r="CO289" t="str">
        <f>""</f>
        <v/>
      </c>
      <c r="CP289" t="str">
        <f>""</f>
        <v/>
      </c>
      <c r="CQ289" t="str">
        <f>""</f>
        <v/>
      </c>
      <c r="CR289" t="str">
        <f>""</f>
        <v/>
      </c>
      <c r="CS289" t="str">
        <f>""</f>
        <v/>
      </c>
      <c r="CT289" t="str">
        <f>""</f>
        <v/>
      </c>
      <c r="CU289" t="str">
        <f>""</f>
        <v/>
      </c>
      <c r="CV289" t="str">
        <f>""</f>
        <v/>
      </c>
      <c r="CW289" t="str">
        <f>""</f>
        <v/>
      </c>
      <c r="CX289" t="str">
        <f>""</f>
        <v/>
      </c>
      <c r="CY289" t="str">
        <f>""</f>
        <v/>
      </c>
      <c r="CZ289" t="str">
        <f>""</f>
        <v/>
      </c>
      <c r="DA289" t="str">
        <f>""</f>
        <v/>
      </c>
      <c r="DB289" t="str">
        <f>""</f>
        <v/>
      </c>
      <c r="DC289" t="str">
        <f>""</f>
        <v/>
      </c>
      <c r="DD289" t="str">
        <f>""</f>
        <v/>
      </c>
      <c r="DE289" t="str">
        <f>""</f>
        <v/>
      </c>
      <c r="DF289" t="str">
        <f>""</f>
        <v/>
      </c>
      <c r="DG289" t="str">
        <f>""</f>
        <v/>
      </c>
      <c r="DH289" t="str">
        <f>""</f>
        <v/>
      </c>
      <c r="DI289" t="str">
        <f>""</f>
        <v/>
      </c>
      <c r="DJ289" t="str">
        <f>""</f>
        <v/>
      </c>
      <c r="DK289" t="str">
        <f>""</f>
        <v/>
      </c>
      <c r="DL289" t="str">
        <f>""</f>
        <v/>
      </c>
      <c r="DM289" t="str">
        <f>""</f>
        <v/>
      </c>
      <c r="DN289" t="str">
        <f>""</f>
        <v/>
      </c>
      <c r="DO289" t="str">
        <f>""</f>
        <v/>
      </c>
      <c r="DP289" t="str">
        <f>""</f>
        <v/>
      </c>
      <c r="DQ289" t="str">
        <f>""</f>
        <v/>
      </c>
      <c r="DR289" t="str">
        <f>""</f>
        <v/>
      </c>
      <c r="DS289" t="str">
        <f>""</f>
        <v/>
      </c>
      <c r="DT289" t="str">
        <f>""</f>
        <v/>
      </c>
      <c r="DU289" t="str">
        <f>""</f>
        <v/>
      </c>
    </row>
    <row r="290" spans="1:125" x14ac:dyDescent="0.25">
      <c r="A290" t="str">
        <f>"BDH dynamic result1"</f>
        <v>BDH dynamic result1</v>
      </c>
      <c r="BN290" t="str">
        <f>""</f>
        <v/>
      </c>
      <c r="BO290" t="str">
        <f>""</f>
        <v/>
      </c>
      <c r="BP290" t="str">
        <f>""</f>
        <v/>
      </c>
      <c r="BQ290" t="str">
        <f>""</f>
        <v/>
      </c>
      <c r="BR290" t="str">
        <f>""</f>
        <v/>
      </c>
      <c r="BS290" t="str">
        <f>""</f>
        <v/>
      </c>
      <c r="BT290" t="str">
        <f>""</f>
        <v/>
      </c>
      <c r="BU290" t="str">
        <f>""</f>
        <v/>
      </c>
      <c r="BV290" t="str">
        <f>""</f>
        <v/>
      </c>
      <c r="BW290" t="str">
        <f>""</f>
        <v/>
      </c>
      <c r="BX290" t="str">
        <f>""</f>
        <v/>
      </c>
      <c r="BY290" t="str">
        <f>""</f>
        <v/>
      </c>
      <c r="BZ290" t="str">
        <f>""</f>
        <v/>
      </c>
      <c r="CA290" t="str">
        <f>""</f>
        <v/>
      </c>
      <c r="CB290" t="str">
        <f>""</f>
        <v/>
      </c>
      <c r="CC290" t="str">
        <f>""</f>
        <v/>
      </c>
      <c r="CD290" t="str">
        <f>""</f>
        <v/>
      </c>
      <c r="CE290" t="str">
        <f>""</f>
        <v/>
      </c>
      <c r="CF290" t="str">
        <f>""</f>
        <v/>
      </c>
      <c r="CG290" t="str">
        <f>""</f>
        <v/>
      </c>
      <c r="CH290" t="str">
        <f>""</f>
        <v/>
      </c>
      <c r="CI290" t="str">
        <f>""</f>
        <v/>
      </c>
      <c r="CJ290" t="str">
        <f>""</f>
        <v/>
      </c>
      <c r="CK290" t="str">
        <f>""</f>
        <v/>
      </c>
      <c r="CL290" t="str">
        <f>""</f>
        <v/>
      </c>
      <c r="CM290" t="str">
        <f>""</f>
        <v/>
      </c>
      <c r="CN290" t="str">
        <f>""</f>
        <v/>
      </c>
      <c r="CO290" t="str">
        <f>""</f>
        <v/>
      </c>
      <c r="CP290" t="str">
        <f>""</f>
        <v/>
      </c>
      <c r="CQ290" t="str">
        <f>""</f>
        <v/>
      </c>
      <c r="CR290" t="str">
        <f>""</f>
        <v/>
      </c>
      <c r="CS290" t="str">
        <f>""</f>
        <v/>
      </c>
      <c r="CT290" t="str">
        <f>""</f>
        <v/>
      </c>
      <c r="CU290" t="str">
        <f>""</f>
        <v/>
      </c>
      <c r="CV290" t="str">
        <f>""</f>
        <v/>
      </c>
      <c r="CW290" t="str">
        <f>""</f>
        <v/>
      </c>
      <c r="CX290" t="str">
        <f>""</f>
        <v/>
      </c>
      <c r="CY290" t="str">
        <f>""</f>
        <v/>
      </c>
      <c r="CZ290" t="str">
        <f>""</f>
        <v/>
      </c>
      <c r="DA290" t="str">
        <f>""</f>
        <v/>
      </c>
      <c r="DB290" t="str">
        <f>""</f>
        <v/>
      </c>
      <c r="DC290" t="str">
        <f>""</f>
        <v/>
      </c>
      <c r="DD290" t="str">
        <f>""</f>
        <v/>
      </c>
      <c r="DE290" t="str">
        <f>""</f>
        <v/>
      </c>
      <c r="DF290" t="str">
        <f>""</f>
        <v/>
      </c>
      <c r="DG290" t="str">
        <f>""</f>
        <v/>
      </c>
      <c r="DH290" t="str">
        <f>""</f>
        <v/>
      </c>
      <c r="DI290" t="str">
        <f>""</f>
        <v/>
      </c>
      <c r="DJ290" t="str">
        <f>""</f>
        <v/>
      </c>
      <c r="DK290" t="str">
        <f>""</f>
        <v/>
      </c>
      <c r="DL290" t="str">
        <f>""</f>
        <v/>
      </c>
      <c r="DM290" t="str">
        <f>""</f>
        <v/>
      </c>
      <c r="DN290" t="str">
        <f>""</f>
        <v/>
      </c>
      <c r="DO290" t="str">
        <f>""</f>
        <v/>
      </c>
      <c r="DP290" t="str">
        <f>""</f>
        <v/>
      </c>
      <c r="DQ290" t="str">
        <f>""</f>
        <v/>
      </c>
      <c r="DR290" t="str">
        <f>""</f>
        <v/>
      </c>
      <c r="DS290" t="str">
        <f>""</f>
        <v/>
      </c>
      <c r="DT290" t="str">
        <f>""</f>
        <v/>
      </c>
      <c r="DU290" t="str">
        <f>""</f>
        <v/>
      </c>
    </row>
    <row r="291" spans="1:125" x14ac:dyDescent="0.25">
      <c r="A291" t="str">
        <f>"BDH dynamic header2"</f>
        <v>BDH dynamic header2</v>
      </c>
      <c r="B291">
        <f ca="1">IF(OR(ISERROR($C$291),ISBLANK($C$291),ISNUMBER(SEARCH("N/A",$C$291) ),ISERROR($C$292),ISBLANK($C$292)),0,1)</f>
        <v>0</v>
      </c>
      <c r="C291" t="str">
        <f ca="1">_xll.BDH($B$7,$C$7,$B$143,$B$144,"PER=CQ","Dts=S","DtFmt=FI", "rows=2","Dir=H","Points=60","Sort=R","Days=A","Fill=B","FX=USD" )</f>
        <v>#N/A Invalid Parameter: Invalid override field id specified</v>
      </c>
      <c r="BN291" t="str">
        <f>""</f>
        <v/>
      </c>
      <c r="BO291" t="str">
        <f>""</f>
        <v/>
      </c>
      <c r="BP291" t="str">
        <f>""</f>
        <v/>
      </c>
      <c r="BQ291" t="str">
        <f>""</f>
        <v/>
      </c>
      <c r="BR291" t="str">
        <f>""</f>
        <v/>
      </c>
      <c r="BS291" t="str">
        <f>""</f>
        <v/>
      </c>
      <c r="BT291" t="str">
        <f>""</f>
        <v/>
      </c>
      <c r="BU291" t="str">
        <f>""</f>
        <v/>
      </c>
      <c r="BV291" t="str">
        <f>""</f>
        <v/>
      </c>
      <c r="BW291" t="str">
        <f>""</f>
        <v/>
      </c>
      <c r="BX291" t="str">
        <f>""</f>
        <v/>
      </c>
      <c r="BY291" t="str">
        <f>""</f>
        <v/>
      </c>
      <c r="BZ291" t="str">
        <f>""</f>
        <v/>
      </c>
      <c r="CA291" t="str">
        <f>""</f>
        <v/>
      </c>
      <c r="CB291" t="str">
        <f>""</f>
        <v/>
      </c>
      <c r="CC291" t="str">
        <f>""</f>
        <v/>
      </c>
      <c r="CD291" t="str">
        <f>""</f>
        <v/>
      </c>
      <c r="CE291" t="str">
        <f>""</f>
        <v/>
      </c>
      <c r="CF291" t="str">
        <f>""</f>
        <v/>
      </c>
      <c r="CG291" t="str">
        <f>""</f>
        <v/>
      </c>
      <c r="CH291" t="str">
        <f>""</f>
        <v/>
      </c>
      <c r="CI291" t="str">
        <f>""</f>
        <v/>
      </c>
      <c r="CJ291" t="str">
        <f>""</f>
        <v/>
      </c>
      <c r="CK291" t="str">
        <f>""</f>
        <v/>
      </c>
      <c r="CL291" t="str">
        <f>""</f>
        <v/>
      </c>
      <c r="CM291" t="str">
        <f>""</f>
        <v/>
      </c>
      <c r="CN291" t="str">
        <f>""</f>
        <v/>
      </c>
      <c r="CO291" t="str">
        <f>""</f>
        <v/>
      </c>
      <c r="CP291" t="str">
        <f>""</f>
        <v/>
      </c>
      <c r="CQ291" t="str">
        <f>""</f>
        <v/>
      </c>
      <c r="CR291" t="str">
        <f>""</f>
        <v/>
      </c>
      <c r="CS291" t="str">
        <f>""</f>
        <v/>
      </c>
      <c r="CT291" t="str">
        <f>""</f>
        <v/>
      </c>
      <c r="CU291" t="str">
        <f>""</f>
        <v/>
      </c>
      <c r="CV291" t="str">
        <f>""</f>
        <v/>
      </c>
      <c r="CW291" t="str">
        <f>""</f>
        <v/>
      </c>
      <c r="CX291" t="str">
        <f>""</f>
        <v/>
      </c>
      <c r="CY291" t="str">
        <f>""</f>
        <v/>
      </c>
      <c r="CZ291" t="str">
        <f>""</f>
        <v/>
      </c>
      <c r="DA291" t="str">
        <f>""</f>
        <v/>
      </c>
      <c r="DB291" t="str">
        <f>""</f>
        <v/>
      </c>
      <c r="DC291" t="str">
        <f>""</f>
        <v/>
      </c>
      <c r="DD291" t="str">
        <f>""</f>
        <v/>
      </c>
      <c r="DE291" t="str">
        <f>""</f>
        <v/>
      </c>
      <c r="DF291" t="str">
        <f>""</f>
        <v/>
      </c>
      <c r="DG291" t="str">
        <f>""</f>
        <v/>
      </c>
      <c r="DH291" t="str">
        <f>""</f>
        <v/>
      </c>
      <c r="DI291" t="str">
        <f>""</f>
        <v/>
      </c>
      <c r="DJ291" t="str">
        <f>""</f>
        <v/>
      </c>
      <c r="DK291" t="str">
        <f>""</f>
        <v/>
      </c>
      <c r="DL291" t="str">
        <f>""</f>
        <v/>
      </c>
      <c r="DM291" t="str">
        <f>""</f>
        <v/>
      </c>
      <c r="DN291" t="str">
        <f>""</f>
        <v/>
      </c>
      <c r="DO291" t="str">
        <f>""</f>
        <v/>
      </c>
      <c r="DP291" t="str">
        <f>""</f>
        <v/>
      </c>
      <c r="DQ291" t="str">
        <f>""</f>
        <v/>
      </c>
      <c r="DR291" t="str">
        <f>""</f>
        <v/>
      </c>
      <c r="DS291" t="str">
        <f>""</f>
        <v/>
      </c>
      <c r="DT291" t="str">
        <f>""</f>
        <v/>
      </c>
      <c r="DU291" t="str">
        <f>""</f>
        <v/>
      </c>
    </row>
    <row r="292" spans="1:125" x14ac:dyDescent="0.25">
      <c r="A292" t="str">
        <f>"BDH dynamic result2"</f>
        <v>BDH dynamic result2</v>
      </c>
      <c r="BN292" t="str">
        <f>""</f>
        <v/>
      </c>
      <c r="BO292" t="str">
        <f>""</f>
        <v/>
      </c>
      <c r="BP292" t="str">
        <f>""</f>
        <v/>
      </c>
      <c r="BQ292" t="str">
        <f>""</f>
        <v/>
      </c>
      <c r="BR292" t="str">
        <f>""</f>
        <v/>
      </c>
      <c r="BS292" t="str">
        <f>""</f>
        <v/>
      </c>
      <c r="BT292" t="str">
        <f>""</f>
        <v/>
      </c>
      <c r="BU292" t="str">
        <f>""</f>
        <v/>
      </c>
      <c r="BV292" t="str">
        <f>""</f>
        <v/>
      </c>
      <c r="BW292" t="str">
        <f>""</f>
        <v/>
      </c>
      <c r="BX292" t="str">
        <f>""</f>
        <v/>
      </c>
      <c r="BY292" t="str">
        <f>""</f>
        <v/>
      </c>
      <c r="BZ292" t="str">
        <f>""</f>
        <v/>
      </c>
      <c r="CA292" t="str">
        <f>""</f>
        <v/>
      </c>
      <c r="CB292" t="str">
        <f>""</f>
        <v/>
      </c>
      <c r="CC292" t="str">
        <f>""</f>
        <v/>
      </c>
      <c r="CD292" t="str">
        <f>""</f>
        <v/>
      </c>
      <c r="CE292" t="str">
        <f>""</f>
        <v/>
      </c>
      <c r="CF292" t="str">
        <f>""</f>
        <v/>
      </c>
      <c r="CG292" t="str">
        <f>""</f>
        <v/>
      </c>
      <c r="CH292" t="str">
        <f>""</f>
        <v/>
      </c>
      <c r="CI292" t="str">
        <f>""</f>
        <v/>
      </c>
      <c r="CJ292" t="str">
        <f>""</f>
        <v/>
      </c>
      <c r="CK292" t="str">
        <f>""</f>
        <v/>
      </c>
      <c r="CL292" t="str">
        <f>""</f>
        <v/>
      </c>
      <c r="CM292" t="str">
        <f>""</f>
        <v/>
      </c>
      <c r="CN292" t="str">
        <f>""</f>
        <v/>
      </c>
      <c r="CO292" t="str">
        <f>""</f>
        <v/>
      </c>
      <c r="CP292" t="str">
        <f>""</f>
        <v/>
      </c>
      <c r="CQ292" t="str">
        <f>""</f>
        <v/>
      </c>
      <c r="CR292" t="str">
        <f>""</f>
        <v/>
      </c>
      <c r="CS292" t="str">
        <f>""</f>
        <v/>
      </c>
      <c r="CT292" t="str">
        <f>""</f>
        <v/>
      </c>
      <c r="CU292" t="str">
        <f>""</f>
        <v/>
      </c>
      <c r="CV292" t="str">
        <f>""</f>
        <v/>
      </c>
      <c r="CW292" t="str">
        <f>""</f>
        <v/>
      </c>
      <c r="CX292" t="str">
        <f>""</f>
        <v/>
      </c>
      <c r="CY292" t="str">
        <f>""</f>
        <v/>
      </c>
      <c r="CZ292" t="str">
        <f>""</f>
        <v/>
      </c>
      <c r="DA292" t="str">
        <f>""</f>
        <v/>
      </c>
      <c r="DB292" t="str">
        <f>""</f>
        <v/>
      </c>
      <c r="DC292" t="str">
        <f>""</f>
        <v/>
      </c>
      <c r="DD292" t="str">
        <f>""</f>
        <v/>
      </c>
      <c r="DE292" t="str">
        <f>""</f>
        <v/>
      </c>
      <c r="DF292" t="str">
        <f>""</f>
        <v/>
      </c>
      <c r="DG292" t="str">
        <f>""</f>
        <v/>
      </c>
      <c r="DH292" t="str">
        <f>""</f>
        <v/>
      </c>
      <c r="DI292" t="str">
        <f>""</f>
        <v/>
      </c>
      <c r="DJ292" t="str">
        <f>""</f>
        <v/>
      </c>
      <c r="DK292" t="str">
        <f>""</f>
        <v/>
      </c>
      <c r="DL292" t="str">
        <f>""</f>
        <v/>
      </c>
      <c r="DM292" t="str">
        <f>""</f>
        <v/>
      </c>
      <c r="DN292" t="str">
        <f>""</f>
        <v/>
      </c>
      <c r="DO292" t="str">
        <f>""</f>
        <v/>
      </c>
      <c r="DP292" t="str">
        <f>""</f>
        <v/>
      </c>
      <c r="DQ292" t="str">
        <f>""</f>
        <v/>
      </c>
      <c r="DR292" t="str">
        <f>""</f>
        <v/>
      </c>
      <c r="DS292" t="str">
        <f>""</f>
        <v/>
      </c>
      <c r="DT292" t="str">
        <f>""</f>
        <v/>
      </c>
      <c r="DU292" t="str">
        <f>""</f>
        <v/>
      </c>
    </row>
    <row r="293" spans="1:125" x14ac:dyDescent="0.25">
      <c r="A293" t="str">
        <f>"BDH dynamic"</f>
        <v>BDH dynamic</v>
      </c>
      <c r="B293">
        <f ca="1">IF($B$287&gt;=1,$B$287,IF($B$289&gt;=1,$B$289,IF($B$291&gt;=1,$B$291,$B$278)))</f>
        <v>2</v>
      </c>
      <c r="C293" t="str">
        <f ca="1">IF($B$287&gt;=1,$C$287,IF($B$289&gt;=1,$C$289,IF($B$291&gt;=1,$C$291,$C$278)))</f>
        <v>2024 Q4</v>
      </c>
      <c r="D293" t="str">
        <f ca="1">IF($B$287&gt;=1,$D$287,IF($B$289&gt;=1,$D$289,IF($B$291&gt;=1,$D$291,$D$278)))</f>
        <v>2024 Q3</v>
      </c>
      <c r="E293" t="str">
        <f ca="1">IF($B$287&gt;=1,$E$287,IF($B$289&gt;=1,$E$289,IF($B$291&gt;=1,$E$291,$E$278)))</f>
        <v>2024 Q2</v>
      </c>
      <c r="F293" t="str">
        <f ca="1">IF($B$287&gt;=1,$F$287,IF($B$289&gt;=1,$F$289,IF($B$291&gt;=1,$F$291,$F$278)))</f>
        <v>2024 Q1</v>
      </c>
      <c r="G293" t="str">
        <f ca="1">IF($B$287&gt;=1,$G$287,IF($B$289&gt;=1,$G$289,IF($B$291&gt;=1,$G$291,$G$278)))</f>
        <v>2023 Q4</v>
      </c>
      <c r="H293" t="str">
        <f ca="1">IF($B$287&gt;=1,$H$287,IF($B$289&gt;=1,$H$289,IF($B$291&gt;=1,$H$291,$H$278)))</f>
        <v>2023 Q3</v>
      </c>
      <c r="I293" t="str">
        <f ca="1">IF($B$287&gt;=1,$I$287,IF($B$289&gt;=1,$I$289,IF($B$291&gt;=1,$I$291,$I$278)))</f>
        <v>2023 Q2</v>
      </c>
      <c r="J293" t="str">
        <f ca="1">IF($B$287&gt;=1,$J$287,IF($B$289&gt;=1,$J$289,IF($B$291&gt;=1,$J$291,$J$278)))</f>
        <v>2023 Q1</v>
      </c>
      <c r="K293" t="str">
        <f ca="1">IF($B$287&gt;=1,$K$287,IF($B$289&gt;=1,$K$289,IF($B$291&gt;=1,$K$291,$K$278)))</f>
        <v>2022 Q4</v>
      </c>
      <c r="L293" t="str">
        <f ca="1">IF($B$287&gt;=1,$L$287,IF($B$289&gt;=1,$L$289,IF($B$291&gt;=1,$L$291,$L$278)))</f>
        <v>2022 Q3</v>
      </c>
      <c r="M293" t="str">
        <f ca="1">IF($B$287&gt;=1,$M$287,IF($B$289&gt;=1,$M$289,IF($B$291&gt;=1,$M$291,$M$278)))</f>
        <v>2022 Q2</v>
      </c>
      <c r="N293" t="str">
        <f ca="1">IF($B$287&gt;=1,$N$287,IF($B$289&gt;=1,$N$289,IF($B$291&gt;=1,$N$291,$N$278)))</f>
        <v>2022 Q1</v>
      </c>
      <c r="O293" t="str">
        <f ca="1">IF($B$287&gt;=1,$O$287,IF($B$289&gt;=1,$O$289,IF($B$291&gt;=1,$O$291,$O$278)))</f>
        <v>2021 Q4</v>
      </c>
      <c r="P293" t="str">
        <f ca="1">IF($B$287&gt;=1,$P$287,IF($B$289&gt;=1,$P$289,IF($B$291&gt;=1,$P$291,$P$278)))</f>
        <v>2021 Q3</v>
      </c>
      <c r="Q293" t="str">
        <f ca="1">IF($B$287&gt;=1,$Q$287,IF($B$289&gt;=1,$Q$289,IF($B$291&gt;=1,$Q$291,$Q$278)))</f>
        <v>2021 Q2</v>
      </c>
      <c r="R293" t="str">
        <f ca="1">IF($B$287&gt;=1,$R$287,IF($B$289&gt;=1,$R$289,IF($B$291&gt;=1,$R$291,$R$278)))</f>
        <v>2021 Q1</v>
      </c>
      <c r="S293" t="str">
        <f ca="1">IF($B$287&gt;=1,$S$287,IF($B$289&gt;=1,$S$289,IF($B$291&gt;=1,$S$291,$S$278)))</f>
        <v>2020 Q4</v>
      </c>
      <c r="T293" t="str">
        <f ca="1">IF($B$287&gt;=1,$T$287,IF($B$289&gt;=1,$T$289,IF($B$291&gt;=1,$T$291,$T$278)))</f>
        <v>2020 Q3</v>
      </c>
      <c r="U293" t="str">
        <f ca="1">IF($B$287&gt;=1,$U$287,IF($B$289&gt;=1,$U$289,IF($B$291&gt;=1,$U$291,$U$278)))</f>
        <v>2020 Q2</v>
      </c>
      <c r="V293" t="str">
        <f ca="1">IF($B$287&gt;=1,$V$287,IF($B$289&gt;=1,$V$289,IF($B$291&gt;=1,$V$291,$V$278)))</f>
        <v>2020 Q1</v>
      </c>
      <c r="W293" t="str">
        <f ca="1">IF($B$287&gt;=1,$W$287,IF($B$289&gt;=1,$W$289,IF($B$291&gt;=1,$W$291,$W$278)))</f>
        <v>2019 Q4</v>
      </c>
      <c r="X293" t="str">
        <f ca="1">IF($B$287&gt;=1,$X$287,IF($B$289&gt;=1,$X$289,IF($B$291&gt;=1,$X$291,$X$278)))</f>
        <v>2019 Q3</v>
      </c>
      <c r="Y293" t="str">
        <f ca="1">IF($B$287&gt;=1,$Y$287,IF($B$289&gt;=1,$Y$289,IF($B$291&gt;=1,$Y$291,$Y$278)))</f>
        <v>2019 Q2</v>
      </c>
      <c r="Z293" t="str">
        <f ca="1">IF($B$287&gt;=1,$Z$287,IF($B$289&gt;=1,$Z$289,IF($B$291&gt;=1,$Z$291,$Z$278)))</f>
        <v>2019 Q1</v>
      </c>
      <c r="AA293" t="str">
        <f ca="1">IF($B$287&gt;=1,$AA$287,IF($B$289&gt;=1,$AA$289,IF($B$291&gt;=1,$AA$291,$AA$278)))</f>
        <v>2018 Q4</v>
      </c>
      <c r="AB293" t="str">
        <f ca="1">IF($B$287&gt;=1,$AB$287,IF($B$289&gt;=1,$AB$289,IF($B$291&gt;=1,$AB$291,$AB$278)))</f>
        <v>2018 Q3</v>
      </c>
      <c r="AC293" t="str">
        <f ca="1">IF($B$287&gt;=1,$AC$287,IF($B$289&gt;=1,$AC$289,IF($B$291&gt;=1,$AC$291,$AC$278)))</f>
        <v>2018 Q2</v>
      </c>
      <c r="AD293" t="str">
        <f ca="1">IF($B$287&gt;=1,$AD$287,IF($B$289&gt;=1,$AD$289,IF($B$291&gt;=1,$AD$291,$AD$278)))</f>
        <v>2018 Q1</v>
      </c>
      <c r="AE293" t="str">
        <f ca="1">IF($B$287&gt;=1,$AE$287,IF($B$289&gt;=1,$AE$289,IF($B$291&gt;=1,$AE$291,$AE$278)))</f>
        <v>2017 Q4</v>
      </c>
      <c r="AF293" t="str">
        <f ca="1">IF($B$287&gt;=1,$AF$287,IF($B$289&gt;=1,$AF$289,IF($B$291&gt;=1,$AF$291,$AF$278)))</f>
        <v>2017 Q3</v>
      </c>
      <c r="AG293" t="str">
        <f ca="1">IF($B$287&gt;=1,$AG$287,IF($B$289&gt;=1,$AG$289,IF($B$291&gt;=1,$AG$291,$AG$278)))</f>
        <v>2017 Q2</v>
      </c>
      <c r="AH293" t="str">
        <f ca="1">IF($B$287&gt;=1,$AH$287,IF($B$289&gt;=1,$AH$289,IF($B$291&gt;=1,$AH$291,$AH$278)))</f>
        <v>2017 Q1</v>
      </c>
      <c r="AI293" t="str">
        <f ca="1">IF($B$287&gt;=1,$AI$287,IF($B$289&gt;=1,$AI$289,IF($B$291&gt;=1,$AI$291,$AI$278)))</f>
        <v>2016 Q4</v>
      </c>
      <c r="AJ293" t="str">
        <f ca="1">IF($B$287&gt;=1,$AJ$287,IF($B$289&gt;=1,$AJ$289,IF($B$291&gt;=1,$AJ$291,$AJ$278)))</f>
        <v>2016 Q3</v>
      </c>
      <c r="AK293" t="str">
        <f ca="1">IF($B$287&gt;=1,$AK$287,IF($B$289&gt;=1,$AK$289,IF($B$291&gt;=1,$AK$291,$AK$278)))</f>
        <v>2016 Q2</v>
      </c>
      <c r="AL293" t="str">
        <f ca="1">IF($B$287&gt;=1,$AL$287,IF($B$289&gt;=1,$AL$289,IF($B$291&gt;=1,$AL$291,$AL$278)))</f>
        <v>2016 Q1</v>
      </c>
      <c r="AM293" t="str">
        <f ca="1">IF($B$287&gt;=1,$AM$287,IF($B$289&gt;=1,$AM$289,IF($B$291&gt;=1,$AM$291,$AM$278)))</f>
        <v>2015 Q4</v>
      </c>
      <c r="AN293" t="str">
        <f ca="1">IF($B$287&gt;=1,$AN$287,IF($B$289&gt;=1,$AN$289,IF($B$291&gt;=1,$AN$291,$AN$278)))</f>
        <v>2015 Q3</v>
      </c>
      <c r="AO293" t="str">
        <f ca="1">IF($B$287&gt;=1,$AO$287,IF($B$289&gt;=1,$AO$289,IF($B$291&gt;=1,$AO$291,$AO$278)))</f>
        <v>2015 Q2</v>
      </c>
      <c r="AP293" t="str">
        <f ca="1">IF($B$287&gt;=1,$AP$287,IF($B$289&gt;=1,$AP$289,IF($B$291&gt;=1,$AP$291,$AP$278)))</f>
        <v>2015 Q1</v>
      </c>
      <c r="AQ293" t="str">
        <f ca="1">IF($B$287&gt;=1,$AQ$287,IF($B$289&gt;=1,$AQ$289,IF($B$291&gt;=1,$AQ$291,$AQ$278)))</f>
        <v>2014 Q4</v>
      </c>
      <c r="AR293" t="str">
        <f ca="1">IF($B$287&gt;=1,$AR$287,IF($B$289&gt;=1,$AR$289,IF($B$291&gt;=1,$AR$291,$AR$278)))</f>
        <v>2014 Q3</v>
      </c>
      <c r="AS293" t="str">
        <f ca="1">IF($B$287&gt;=1,$AS$287,IF($B$289&gt;=1,$AS$289,IF($B$291&gt;=1,$AS$291,$AS$278)))</f>
        <v>2014 Q2</v>
      </c>
      <c r="AT293" t="str">
        <f ca="1">IF($B$287&gt;=1,$AT$287,IF($B$289&gt;=1,$AT$289,IF($B$291&gt;=1,$AT$291,$AT$278)))</f>
        <v>2014 Q1</v>
      </c>
      <c r="AU293" t="str">
        <f ca="1">IF($B$287&gt;=1,$AU$287,IF($B$289&gt;=1,$AU$289,IF($B$291&gt;=1,$AU$291,$AU$278)))</f>
        <v>2013 Q4</v>
      </c>
      <c r="AV293" t="str">
        <f ca="1">IF($B$287&gt;=1,$AV$287,IF($B$289&gt;=1,$AV$289,IF($B$291&gt;=1,$AV$291,$AV$278)))</f>
        <v>2013 Q3</v>
      </c>
      <c r="AW293" t="str">
        <f ca="1">IF($B$287&gt;=1,$AW$287,IF($B$289&gt;=1,$AW$289,IF($B$291&gt;=1,$AW$291,$AW$278)))</f>
        <v>2013 Q2</v>
      </c>
      <c r="AX293" t="str">
        <f ca="1">IF($B$287&gt;=1,$AX$287,IF($B$289&gt;=1,$AX$289,IF($B$291&gt;=1,$AX$291,$AX$278)))</f>
        <v>2013 Q1</v>
      </c>
      <c r="AY293" t="str">
        <f ca="1">IF($B$287&gt;=1,$AY$287,IF($B$289&gt;=1,$AY$289,IF($B$291&gt;=1,$AY$291,$AY$278)))</f>
        <v>2012 Q4</v>
      </c>
      <c r="AZ293" t="str">
        <f ca="1">IF($B$287&gt;=1,$AZ$287,IF($B$289&gt;=1,$AZ$289,IF($B$291&gt;=1,$AZ$291,$AZ$278)))</f>
        <v>2012 Q3</v>
      </c>
      <c r="BA293" t="str">
        <f ca="1">IF($B$287&gt;=1,$BA$287,IF($B$289&gt;=1,$BA$289,IF($B$291&gt;=1,$BA$291,$BA$278)))</f>
        <v>2012 Q2</v>
      </c>
      <c r="BB293" t="str">
        <f ca="1">IF($B$287&gt;=1,$BB$287,IF($B$289&gt;=1,$BB$289,IF($B$291&gt;=1,$BB$291,$BB$278)))</f>
        <v>2012 Q1</v>
      </c>
      <c r="BC293" t="str">
        <f ca="1">IF($B$287&gt;=1,$BC$287,IF($B$289&gt;=1,$BC$289,IF($B$291&gt;=1,$BC$291,$BC$278)))</f>
        <v>2011 Q4</v>
      </c>
      <c r="BD293" t="str">
        <f ca="1">IF($B$287&gt;=1,$BD$287,IF($B$289&gt;=1,$BD$289,IF($B$291&gt;=1,$BD$291,$BD$278)))</f>
        <v>2011 Q3</v>
      </c>
      <c r="BE293" t="str">
        <f ca="1">IF($B$287&gt;=1,$BE$287,IF($B$289&gt;=1,$BE$289,IF($B$291&gt;=1,$BE$291,$BE$278)))</f>
        <v>2011 Q2</v>
      </c>
      <c r="BF293" t="str">
        <f ca="1">IF($B$287&gt;=1,$BF$287,IF($B$289&gt;=1,$BF$289,IF($B$291&gt;=1,$BF$291,$BF$278)))</f>
        <v>2011 Q1</v>
      </c>
      <c r="BG293" t="str">
        <f ca="1">IF($B$287&gt;=1,$BG$287,IF($B$289&gt;=1,$BG$289,IF($B$291&gt;=1,$BG$291,$BG$278)))</f>
        <v>2010 Q4</v>
      </c>
      <c r="BH293" t="str">
        <f ca="1">IF($B$287&gt;=1,$BH$287,IF($B$289&gt;=1,$BH$289,IF($B$291&gt;=1,$BH$291,$BH$278)))</f>
        <v>2010 Q3</v>
      </c>
      <c r="BI293" t="str">
        <f ca="1">IF($B$287&gt;=1,$BI$287,IF($B$289&gt;=1,$BI$289,IF($B$291&gt;=1,$BI$291,$BI$278)))</f>
        <v>2010 Q2</v>
      </c>
      <c r="BJ293" t="str">
        <f ca="1">IF($B$287&gt;=1,$BJ$287,IF($B$289&gt;=1,$BJ$289,IF($B$291&gt;=1,$BJ$291,$BJ$278)))</f>
        <v>2010 Q1</v>
      </c>
      <c r="BN293" t="str">
        <f>""</f>
        <v/>
      </c>
      <c r="BO293" t="str">
        <f>""</f>
        <v/>
      </c>
      <c r="BP293" t="str">
        <f>""</f>
        <v/>
      </c>
      <c r="BQ293" t="str">
        <f>""</f>
        <v/>
      </c>
      <c r="BR293" t="str">
        <f>""</f>
        <v/>
      </c>
      <c r="BS293" t="str">
        <f>""</f>
        <v/>
      </c>
      <c r="BT293" t="str">
        <f>""</f>
        <v/>
      </c>
      <c r="BU293" t="str">
        <f>""</f>
        <v/>
      </c>
      <c r="BV293" t="str">
        <f>""</f>
        <v/>
      </c>
      <c r="BW293" t="str">
        <f>""</f>
        <v/>
      </c>
      <c r="BX293" t="str">
        <f>""</f>
        <v/>
      </c>
      <c r="BY293" t="str">
        <f>""</f>
        <v/>
      </c>
      <c r="BZ293" t="str">
        <f>""</f>
        <v/>
      </c>
      <c r="CA293" t="str">
        <f>""</f>
        <v/>
      </c>
      <c r="CB293" t="str">
        <f>""</f>
        <v/>
      </c>
      <c r="CC293" t="str">
        <f>""</f>
        <v/>
      </c>
      <c r="CD293" t="str">
        <f>""</f>
        <v/>
      </c>
      <c r="CE293" t="str">
        <f>""</f>
        <v/>
      </c>
      <c r="CF293" t="str">
        <f>""</f>
        <v/>
      </c>
      <c r="CG293" t="str">
        <f>""</f>
        <v/>
      </c>
      <c r="CH293" t="str">
        <f>""</f>
        <v/>
      </c>
      <c r="CI293" t="str">
        <f>""</f>
        <v/>
      </c>
      <c r="CJ293" t="str">
        <f>""</f>
        <v/>
      </c>
      <c r="CK293" t="str">
        <f>""</f>
        <v/>
      </c>
      <c r="CL293" t="str">
        <f>""</f>
        <v/>
      </c>
      <c r="CM293" t="str">
        <f>""</f>
        <v/>
      </c>
      <c r="CN293" t="str">
        <f>""</f>
        <v/>
      </c>
      <c r="CO293" t="str">
        <f>""</f>
        <v/>
      </c>
      <c r="CP293" t="str">
        <f>""</f>
        <v/>
      </c>
      <c r="CQ293" t="str">
        <f>""</f>
        <v/>
      </c>
      <c r="CR293" t="str">
        <f>""</f>
        <v/>
      </c>
      <c r="CS293" t="str">
        <f>""</f>
        <v/>
      </c>
      <c r="CT293" t="str">
        <f>""</f>
        <v/>
      </c>
      <c r="CU293" t="str">
        <f>""</f>
        <v/>
      </c>
      <c r="CV293" t="str">
        <f>""</f>
        <v/>
      </c>
      <c r="CW293" t="str">
        <f>""</f>
        <v/>
      </c>
      <c r="CX293" t="str">
        <f>""</f>
        <v/>
      </c>
      <c r="CY293" t="str">
        <f>""</f>
        <v/>
      </c>
      <c r="CZ293" t="str">
        <f>""</f>
        <v/>
      </c>
      <c r="DA293" t="str">
        <f>""</f>
        <v/>
      </c>
      <c r="DB293" t="str">
        <f>""</f>
        <v/>
      </c>
      <c r="DC293" t="str">
        <f>""</f>
        <v/>
      </c>
      <c r="DD293" t="str">
        <f>""</f>
        <v/>
      </c>
      <c r="DE293" t="str">
        <f>""</f>
        <v/>
      </c>
      <c r="DF293" t="str">
        <f>""</f>
        <v/>
      </c>
      <c r="DG293" t="str">
        <f>""</f>
        <v/>
      </c>
      <c r="DH293" t="str">
        <f>""</f>
        <v/>
      </c>
      <c r="DI293" t="str">
        <f>""</f>
        <v/>
      </c>
      <c r="DJ293" t="str">
        <f>""</f>
        <v/>
      </c>
      <c r="DK293" t="str">
        <f>""</f>
        <v/>
      </c>
      <c r="DL293" t="str">
        <f>""</f>
        <v/>
      </c>
      <c r="DM293" t="str">
        <f>""</f>
        <v/>
      </c>
      <c r="DN293" t="str">
        <f>""</f>
        <v/>
      </c>
      <c r="DO293" t="str">
        <f>""</f>
        <v/>
      </c>
      <c r="DP293" t="str">
        <f>""</f>
        <v/>
      </c>
      <c r="DQ293" t="str">
        <f>""</f>
        <v/>
      </c>
      <c r="DR293" t="str">
        <f>""</f>
        <v/>
      </c>
      <c r="DS293" t="str">
        <f>""</f>
        <v/>
      </c>
      <c r="DT293" t="str">
        <f>""</f>
        <v/>
      </c>
      <c r="DU293" t="str">
        <f>""</f>
        <v/>
      </c>
    </row>
    <row r="294" spans="1:125" x14ac:dyDescent="0.25">
      <c r="A294" t="str">
        <f>"BDH dynamic title"</f>
        <v>BDH dynamic title</v>
      </c>
      <c r="B294">
        <f ca="1">$B$293</f>
        <v>2</v>
      </c>
      <c r="C294" t="str">
        <f ca="1">IF(LEN($C$293)&lt;&gt;8,$C$293,RIGHT($C$293,4)&amp;" "&amp;MID($C$293,3,1)&amp;LEFT($C$293,1))</f>
        <v>2024 Q4</v>
      </c>
      <c r="D294" t="str">
        <f ca="1">IF(LEN($D$293)&lt;&gt;8,$D$293,RIGHT($D$293,4)&amp;" "&amp;MID($D$293,3,1)&amp;LEFT($D$293,1))</f>
        <v>2024 Q3</v>
      </c>
      <c r="E294" t="str">
        <f ca="1">IF(LEN($E$293)&lt;&gt;8,$E$293,RIGHT($E$293,4)&amp;" "&amp;MID($E$293,3,1)&amp;LEFT($E$293,1))</f>
        <v>2024 Q2</v>
      </c>
      <c r="F294" t="str">
        <f ca="1">IF(LEN($F$293)&lt;&gt;8,$F$293,RIGHT($F$293,4)&amp;" "&amp;MID($F$293,3,1)&amp;LEFT($F$293,1))</f>
        <v>2024 Q1</v>
      </c>
      <c r="G294" t="str">
        <f ca="1">IF(LEN($G$293)&lt;&gt;8,$G$293,RIGHT($G$293,4)&amp;" "&amp;MID($G$293,3,1)&amp;LEFT($G$293,1))</f>
        <v>2023 Q4</v>
      </c>
      <c r="H294" t="str">
        <f ca="1">IF(LEN($H$293)&lt;&gt;8,$H$293,RIGHT($H$293,4)&amp;" "&amp;MID($H$293,3,1)&amp;LEFT($H$293,1))</f>
        <v>2023 Q3</v>
      </c>
      <c r="I294" t="str">
        <f ca="1">IF(LEN($I$293)&lt;&gt;8,$I$293,RIGHT($I$293,4)&amp;" "&amp;MID($I$293,3,1)&amp;LEFT($I$293,1))</f>
        <v>2023 Q2</v>
      </c>
      <c r="J294" t="str">
        <f ca="1">IF(LEN($J$293)&lt;&gt;8,$J$293,RIGHT($J$293,4)&amp;" "&amp;MID($J$293,3,1)&amp;LEFT($J$293,1))</f>
        <v>2023 Q1</v>
      </c>
      <c r="K294" t="str">
        <f ca="1">IF(LEN($K$293)&lt;&gt;8,$K$293,RIGHT($K$293,4)&amp;" "&amp;MID($K$293,3,1)&amp;LEFT($K$293,1))</f>
        <v>2022 Q4</v>
      </c>
      <c r="L294" t="str">
        <f ca="1">IF(LEN($L$293)&lt;&gt;8,$L$293,RIGHT($L$293,4)&amp;" "&amp;MID($L$293,3,1)&amp;LEFT($L$293,1))</f>
        <v>2022 Q3</v>
      </c>
      <c r="M294" t="str">
        <f ca="1">IF(LEN($M$293)&lt;&gt;8,$M$293,RIGHT($M$293,4)&amp;" "&amp;MID($M$293,3,1)&amp;LEFT($M$293,1))</f>
        <v>2022 Q2</v>
      </c>
      <c r="N294" t="str">
        <f ca="1">IF(LEN($N$293)&lt;&gt;8,$N$293,RIGHT($N$293,4)&amp;" "&amp;MID($N$293,3,1)&amp;LEFT($N$293,1))</f>
        <v>2022 Q1</v>
      </c>
      <c r="O294" t="str">
        <f ca="1">IF(LEN($O$293)&lt;&gt;8,$O$293,RIGHT($O$293,4)&amp;" "&amp;MID($O$293,3,1)&amp;LEFT($O$293,1))</f>
        <v>2021 Q4</v>
      </c>
      <c r="P294" t="str">
        <f ca="1">IF(LEN($P$293)&lt;&gt;8,$P$293,RIGHT($P$293,4)&amp;" "&amp;MID($P$293,3,1)&amp;LEFT($P$293,1))</f>
        <v>2021 Q3</v>
      </c>
      <c r="Q294" t="str">
        <f ca="1">IF(LEN($Q$293)&lt;&gt;8,$Q$293,RIGHT($Q$293,4)&amp;" "&amp;MID($Q$293,3,1)&amp;LEFT($Q$293,1))</f>
        <v>2021 Q2</v>
      </c>
      <c r="R294" t="str">
        <f ca="1">IF(LEN($R$293)&lt;&gt;8,$R$293,RIGHT($R$293,4)&amp;" "&amp;MID($R$293,3,1)&amp;LEFT($R$293,1))</f>
        <v>2021 Q1</v>
      </c>
      <c r="S294" t="str">
        <f ca="1">IF(LEN($S$293)&lt;&gt;8,$S$293,RIGHT($S$293,4)&amp;" "&amp;MID($S$293,3,1)&amp;LEFT($S$293,1))</f>
        <v>2020 Q4</v>
      </c>
      <c r="T294" t="str">
        <f ca="1">IF(LEN($T$293)&lt;&gt;8,$T$293,RIGHT($T$293,4)&amp;" "&amp;MID($T$293,3,1)&amp;LEFT($T$293,1))</f>
        <v>2020 Q3</v>
      </c>
      <c r="U294" t="str">
        <f ca="1">IF(LEN($U$293)&lt;&gt;8,$U$293,RIGHT($U$293,4)&amp;" "&amp;MID($U$293,3,1)&amp;LEFT($U$293,1))</f>
        <v>2020 Q2</v>
      </c>
      <c r="V294" t="str">
        <f ca="1">IF(LEN($V$293)&lt;&gt;8,$V$293,RIGHT($V$293,4)&amp;" "&amp;MID($V$293,3,1)&amp;LEFT($V$293,1))</f>
        <v>2020 Q1</v>
      </c>
      <c r="W294" t="str">
        <f ca="1">IF(LEN($W$293)&lt;&gt;8,$W$293,RIGHT($W$293,4)&amp;" "&amp;MID($W$293,3,1)&amp;LEFT($W$293,1))</f>
        <v>2019 Q4</v>
      </c>
      <c r="X294" t="str">
        <f ca="1">IF(LEN($X$293)&lt;&gt;8,$X$293,RIGHT($X$293,4)&amp;" "&amp;MID($X$293,3,1)&amp;LEFT($X$293,1))</f>
        <v>2019 Q3</v>
      </c>
      <c r="Y294" t="str">
        <f ca="1">IF(LEN($Y$293)&lt;&gt;8,$Y$293,RIGHT($Y$293,4)&amp;" "&amp;MID($Y$293,3,1)&amp;LEFT($Y$293,1))</f>
        <v>2019 Q2</v>
      </c>
      <c r="Z294" t="str">
        <f ca="1">IF(LEN($Z$293)&lt;&gt;8,$Z$293,RIGHT($Z$293,4)&amp;" "&amp;MID($Z$293,3,1)&amp;LEFT($Z$293,1))</f>
        <v>2019 Q1</v>
      </c>
      <c r="AA294" t="str">
        <f ca="1">IF(LEN($AA$293)&lt;&gt;8,$AA$293,RIGHT($AA$293,4)&amp;" "&amp;MID($AA$293,3,1)&amp;LEFT($AA$293,1))</f>
        <v>2018 Q4</v>
      </c>
      <c r="AB294" t="str">
        <f ca="1">IF(LEN($AB$293)&lt;&gt;8,$AB$293,RIGHT($AB$293,4)&amp;" "&amp;MID($AB$293,3,1)&amp;LEFT($AB$293,1))</f>
        <v>2018 Q3</v>
      </c>
      <c r="AC294" t="str">
        <f ca="1">IF(LEN($AC$293)&lt;&gt;8,$AC$293,RIGHT($AC$293,4)&amp;" "&amp;MID($AC$293,3,1)&amp;LEFT($AC$293,1))</f>
        <v>2018 Q2</v>
      </c>
      <c r="AD294" t="str">
        <f ca="1">IF(LEN($AD$293)&lt;&gt;8,$AD$293,RIGHT($AD$293,4)&amp;" "&amp;MID($AD$293,3,1)&amp;LEFT($AD$293,1))</f>
        <v>2018 Q1</v>
      </c>
      <c r="AE294" t="str">
        <f ca="1">IF(LEN($AE$293)&lt;&gt;8,$AE$293,RIGHT($AE$293,4)&amp;" "&amp;MID($AE$293,3,1)&amp;LEFT($AE$293,1))</f>
        <v>2017 Q4</v>
      </c>
      <c r="AF294" t="str">
        <f ca="1">IF(LEN($AF$293)&lt;&gt;8,$AF$293,RIGHT($AF$293,4)&amp;" "&amp;MID($AF$293,3,1)&amp;LEFT($AF$293,1))</f>
        <v>2017 Q3</v>
      </c>
      <c r="AG294" t="str">
        <f ca="1">IF(LEN($AG$293)&lt;&gt;8,$AG$293,RIGHT($AG$293,4)&amp;" "&amp;MID($AG$293,3,1)&amp;LEFT($AG$293,1))</f>
        <v>2017 Q2</v>
      </c>
      <c r="AH294" t="str">
        <f ca="1">IF(LEN($AH$293)&lt;&gt;8,$AH$293,RIGHT($AH$293,4)&amp;" "&amp;MID($AH$293,3,1)&amp;LEFT($AH$293,1))</f>
        <v>2017 Q1</v>
      </c>
      <c r="AI294" t="str">
        <f ca="1">IF(LEN($AI$293)&lt;&gt;8,$AI$293,RIGHT($AI$293,4)&amp;" "&amp;MID($AI$293,3,1)&amp;LEFT($AI$293,1))</f>
        <v>2016 Q4</v>
      </c>
      <c r="AJ294" t="str">
        <f ca="1">IF(LEN($AJ$293)&lt;&gt;8,$AJ$293,RIGHT($AJ$293,4)&amp;" "&amp;MID($AJ$293,3,1)&amp;LEFT($AJ$293,1))</f>
        <v>2016 Q3</v>
      </c>
      <c r="AK294" t="str">
        <f ca="1">IF(LEN($AK$293)&lt;&gt;8,$AK$293,RIGHT($AK$293,4)&amp;" "&amp;MID($AK$293,3,1)&amp;LEFT($AK$293,1))</f>
        <v>2016 Q2</v>
      </c>
      <c r="AL294" t="str">
        <f ca="1">IF(LEN($AL$293)&lt;&gt;8,$AL$293,RIGHT($AL$293,4)&amp;" "&amp;MID($AL$293,3,1)&amp;LEFT($AL$293,1))</f>
        <v>2016 Q1</v>
      </c>
      <c r="AM294" t="str">
        <f ca="1">IF(LEN($AM$293)&lt;&gt;8,$AM$293,RIGHT($AM$293,4)&amp;" "&amp;MID($AM$293,3,1)&amp;LEFT($AM$293,1))</f>
        <v>2015 Q4</v>
      </c>
      <c r="AN294" t="str">
        <f ca="1">IF(LEN($AN$293)&lt;&gt;8,$AN$293,RIGHT($AN$293,4)&amp;" "&amp;MID($AN$293,3,1)&amp;LEFT($AN$293,1))</f>
        <v>2015 Q3</v>
      </c>
      <c r="AO294" t="str">
        <f ca="1">IF(LEN($AO$293)&lt;&gt;8,$AO$293,RIGHT($AO$293,4)&amp;" "&amp;MID($AO$293,3,1)&amp;LEFT($AO$293,1))</f>
        <v>2015 Q2</v>
      </c>
      <c r="AP294" t="str">
        <f ca="1">IF(LEN($AP$293)&lt;&gt;8,$AP$293,RIGHT($AP$293,4)&amp;" "&amp;MID($AP$293,3,1)&amp;LEFT($AP$293,1))</f>
        <v>2015 Q1</v>
      </c>
      <c r="AQ294" t="str">
        <f ca="1">IF(LEN($AQ$293)&lt;&gt;8,$AQ$293,RIGHT($AQ$293,4)&amp;" "&amp;MID($AQ$293,3,1)&amp;LEFT($AQ$293,1))</f>
        <v>2014 Q4</v>
      </c>
      <c r="AR294" t="str">
        <f ca="1">IF(LEN($AR$293)&lt;&gt;8,$AR$293,RIGHT($AR$293,4)&amp;" "&amp;MID($AR$293,3,1)&amp;LEFT($AR$293,1))</f>
        <v>2014 Q3</v>
      </c>
      <c r="AS294" t="str">
        <f ca="1">IF(LEN($AS$293)&lt;&gt;8,$AS$293,RIGHT($AS$293,4)&amp;" "&amp;MID($AS$293,3,1)&amp;LEFT($AS$293,1))</f>
        <v>2014 Q2</v>
      </c>
      <c r="AT294" t="str">
        <f ca="1">IF(LEN($AT$293)&lt;&gt;8,$AT$293,RIGHT($AT$293,4)&amp;" "&amp;MID($AT$293,3,1)&amp;LEFT($AT$293,1))</f>
        <v>2014 Q1</v>
      </c>
      <c r="AU294" t="str">
        <f ca="1">IF(LEN($AU$293)&lt;&gt;8,$AU$293,RIGHT($AU$293,4)&amp;" "&amp;MID($AU$293,3,1)&amp;LEFT($AU$293,1))</f>
        <v>2013 Q4</v>
      </c>
      <c r="AV294" t="str">
        <f ca="1">IF(LEN($AV$293)&lt;&gt;8,$AV$293,RIGHT($AV$293,4)&amp;" "&amp;MID($AV$293,3,1)&amp;LEFT($AV$293,1))</f>
        <v>2013 Q3</v>
      </c>
      <c r="AW294" t="str">
        <f ca="1">IF(LEN($AW$293)&lt;&gt;8,$AW$293,RIGHT($AW$293,4)&amp;" "&amp;MID($AW$293,3,1)&amp;LEFT($AW$293,1))</f>
        <v>2013 Q2</v>
      </c>
      <c r="AX294" t="str">
        <f ca="1">IF(LEN($AX$293)&lt;&gt;8,$AX$293,RIGHT($AX$293,4)&amp;" "&amp;MID($AX$293,3,1)&amp;LEFT($AX$293,1))</f>
        <v>2013 Q1</v>
      </c>
      <c r="AY294" t="str">
        <f ca="1">IF(LEN($AY$293)&lt;&gt;8,$AY$293,RIGHT($AY$293,4)&amp;" "&amp;MID($AY$293,3,1)&amp;LEFT($AY$293,1))</f>
        <v>2012 Q4</v>
      </c>
      <c r="AZ294" t="str">
        <f ca="1">IF(LEN($AZ$293)&lt;&gt;8,$AZ$293,RIGHT($AZ$293,4)&amp;" "&amp;MID($AZ$293,3,1)&amp;LEFT($AZ$293,1))</f>
        <v>2012 Q3</v>
      </c>
      <c r="BA294" t="str">
        <f ca="1">IF(LEN($BA$293)&lt;&gt;8,$BA$293,RIGHT($BA$293,4)&amp;" "&amp;MID($BA$293,3,1)&amp;LEFT($BA$293,1))</f>
        <v>2012 Q2</v>
      </c>
      <c r="BB294" t="str">
        <f ca="1">IF(LEN($BB$293)&lt;&gt;8,$BB$293,RIGHT($BB$293,4)&amp;" "&amp;MID($BB$293,3,1)&amp;LEFT($BB$293,1))</f>
        <v>2012 Q1</v>
      </c>
      <c r="BC294" t="str">
        <f ca="1">IF(LEN($BC$293)&lt;&gt;8,$BC$293,RIGHT($BC$293,4)&amp;" "&amp;MID($BC$293,3,1)&amp;LEFT($BC$293,1))</f>
        <v>2011 Q4</v>
      </c>
      <c r="BD294" t="str">
        <f ca="1">IF(LEN($BD$293)&lt;&gt;8,$BD$293,RIGHT($BD$293,4)&amp;" "&amp;MID($BD$293,3,1)&amp;LEFT($BD$293,1))</f>
        <v>2011 Q3</v>
      </c>
      <c r="BE294" t="str">
        <f ca="1">IF(LEN($BE$293)&lt;&gt;8,$BE$293,RIGHT($BE$293,4)&amp;" "&amp;MID($BE$293,3,1)&amp;LEFT($BE$293,1))</f>
        <v>2011 Q2</v>
      </c>
      <c r="BF294" t="str">
        <f ca="1">IF(LEN($BF$293)&lt;&gt;8,$BF$293,RIGHT($BF$293,4)&amp;" "&amp;MID($BF$293,3,1)&amp;LEFT($BF$293,1))</f>
        <v>2011 Q1</v>
      </c>
      <c r="BG294" t="str">
        <f ca="1">IF(LEN($BG$293)&lt;&gt;8,$BG$293,RIGHT($BG$293,4)&amp;" "&amp;MID($BG$293,3,1)&amp;LEFT($BG$293,1))</f>
        <v>2010 Q4</v>
      </c>
      <c r="BH294" t="str">
        <f ca="1">IF(LEN($BH$293)&lt;&gt;8,$BH$293,RIGHT($BH$293,4)&amp;" "&amp;MID($BH$293,3,1)&amp;LEFT($BH$293,1))</f>
        <v>2010 Q3</v>
      </c>
      <c r="BI294" t="str">
        <f ca="1">IF(LEN($BI$293)&lt;&gt;8,$BI$293,RIGHT($BI$293,4)&amp;" "&amp;MID($BI$293,3,1)&amp;LEFT($BI$293,1))</f>
        <v>2010 Q2</v>
      </c>
      <c r="BJ294" t="str">
        <f ca="1">IF(LEN($BJ$293)&lt;&gt;8,$BJ$293,RIGHT($BJ$293,4)&amp;" "&amp;MID($BJ$293,3,1)&amp;LEFT($BJ$293,1))</f>
        <v>2010 Q1</v>
      </c>
      <c r="BN294" t="str">
        <f>""</f>
        <v/>
      </c>
      <c r="BO294" t="str">
        <f>""</f>
        <v/>
      </c>
      <c r="BP294" t="str">
        <f>""</f>
        <v/>
      </c>
      <c r="BQ294" t="str">
        <f>""</f>
        <v/>
      </c>
      <c r="BR294" t="str">
        <f>""</f>
        <v/>
      </c>
      <c r="BS294" t="str">
        <f>""</f>
        <v/>
      </c>
      <c r="BT294" t="str">
        <f>""</f>
        <v/>
      </c>
      <c r="BU294" t="str">
        <f>""</f>
        <v/>
      </c>
      <c r="BV294" t="str">
        <f>""</f>
        <v/>
      </c>
      <c r="BW294" t="str">
        <f>""</f>
        <v/>
      </c>
      <c r="BX294" t="str">
        <f>""</f>
        <v/>
      </c>
      <c r="BY294" t="str">
        <f>""</f>
        <v/>
      </c>
      <c r="BZ294" t="str">
        <f>""</f>
        <v/>
      </c>
      <c r="CA294" t="str">
        <f>""</f>
        <v/>
      </c>
      <c r="CB294" t="str">
        <f>""</f>
        <v/>
      </c>
      <c r="CC294" t="str">
        <f>""</f>
        <v/>
      </c>
      <c r="CD294" t="str">
        <f>""</f>
        <v/>
      </c>
      <c r="CE294" t="str">
        <f>""</f>
        <v/>
      </c>
      <c r="CF294" t="str">
        <f>""</f>
        <v/>
      </c>
      <c r="CG294" t="str">
        <f>""</f>
        <v/>
      </c>
      <c r="CH294" t="str">
        <f>""</f>
        <v/>
      </c>
      <c r="CI294" t="str">
        <f>""</f>
        <v/>
      </c>
      <c r="CJ294" t="str">
        <f>""</f>
        <v/>
      </c>
      <c r="CK294" t="str">
        <f>""</f>
        <v/>
      </c>
      <c r="CL294" t="str">
        <f>""</f>
        <v/>
      </c>
      <c r="CM294" t="str">
        <f>""</f>
        <v/>
      </c>
      <c r="CN294" t="str">
        <f>""</f>
        <v/>
      </c>
      <c r="CO294" t="str">
        <f>""</f>
        <v/>
      </c>
      <c r="CP294" t="str">
        <f>""</f>
        <v/>
      </c>
      <c r="CQ294" t="str">
        <f>""</f>
        <v/>
      </c>
      <c r="CR294" t="str">
        <f>""</f>
        <v/>
      </c>
      <c r="CS294" t="str">
        <f>""</f>
        <v/>
      </c>
      <c r="CT294" t="str">
        <f>""</f>
        <v/>
      </c>
      <c r="CU294" t="str">
        <f>""</f>
        <v/>
      </c>
      <c r="CV294" t="str">
        <f>""</f>
        <v/>
      </c>
      <c r="CW294" t="str">
        <f>""</f>
        <v/>
      </c>
      <c r="CX294" t="str">
        <f>""</f>
        <v/>
      </c>
      <c r="CY294" t="str">
        <f>""</f>
        <v/>
      </c>
      <c r="CZ294" t="str">
        <f>""</f>
        <v/>
      </c>
      <c r="DA294" t="str">
        <f>""</f>
        <v/>
      </c>
      <c r="DB294" t="str">
        <f>""</f>
        <v/>
      </c>
      <c r="DC294" t="str">
        <f>""</f>
        <v/>
      </c>
      <c r="DD294" t="str">
        <f>""</f>
        <v/>
      </c>
      <c r="DE294" t="str">
        <f>""</f>
        <v/>
      </c>
      <c r="DF294" t="str">
        <f>""</f>
        <v/>
      </c>
      <c r="DG294" t="str">
        <f>""</f>
        <v/>
      </c>
      <c r="DH294" t="str">
        <f>""</f>
        <v/>
      </c>
      <c r="DI294" t="str">
        <f>""</f>
        <v/>
      </c>
      <c r="DJ294" t="str">
        <f>""</f>
        <v/>
      </c>
      <c r="DK294" t="str">
        <f>""</f>
        <v/>
      </c>
      <c r="DL294" t="str">
        <f>""</f>
        <v/>
      </c>
      <c r="DM294" t="str">
        <f>""</f>
        <v/>
      </c>
      <c r="DN294" t="str">
        <f>""</f>
        <v/>
      </c>
      <c r="DO294" t="str">
        <f>""</f>
        <v/>
      </c>
      <c r="DP294" t="str">
        <f>""</f>
        <v/>
      </c>
      <c r="DQ294" t="str">
        <f>""</f>
        <v/>
      </c>
      <c r="DR294" t="str">
        <f>""</f>
        <v/>
      </c>
      <c r="DS294" t="str">
        <f>""</f>
        <v/>
      </c>
      <c r="DT294" t="str">
        <f>""</f>
        <v/>
      </c>
      <c r="DU294" t="str">
        <f>""</f>
        <v/>
      </c>
    </row>
    <row r="295" spans="1:125" x14ac:dyDescent="0.25">
      <c r="A295" t="str">
        <f>"No error found"</f>
        <v>No error found</v>
      </c>
      <c r="B295" t="str">
        <f>""</f>
        <v/>
      </c>
      <c r="C295" t="str">
        <f>""</f>
        <v/>
      </c>
      <c r="D295" t="str">
        <f>""</f>
        <v/>
      </c>
      <c r="E295" t="str">
        <f>""</f>
        <v/>
      </c>
      <c r="BN295" t="str">
        <f>""</f>
        <v/>
      </c>
      <c r="BO295" t="str">
        <f>""</f>
        <v/>
      </c>
      <c r="BP295" t="str">
        <f>""</f>
        <v/>
      </c>
      <c r="BQ295" t="str">
        <f>""</f>
        <v/>
      </c>
      <c r="BR295" t="str">
        <f>""</f>
        <v/>
      </c>
      <c r="BS295" t="str">
        <f>""</f>
        <v/>
      </c>
      <c r="BT295" t="str">
        <f>""</f>
        <v/>
      </c>
      <c r="BU295" t="str">
        <f>""</f>
        <v/>
      </c>
      <c r="BV295" t="str">
        <f>""</f>
        <v/>
      </c>
      <c r="BW295" t="str">
        <f>""</f>
        <v/>
      </c>
      <c r="BX295" t="str">
        <f>""</f>
        <v/>
      </c>
      <c r="BY295" t="str">
        <f>""</f>
        <v/>
      </c>
      <c r="BZ295" t="str">
        <f>""</f>
        <v/>
      </c>
      <c r="CA295" t="str">
        <f>""</f>
        <v/>
      </c>
      <c r="CB295" t="str">
        <f>""</f>
        <v/>
      </c>
      <c r="CC295" t="str">
        <f>""</f>
        <v/>
      </c>
      <c r="CD295" t="str">
        <f>""</f>
        <v/>
      </c>
      <c r="CE295" t="str">
        <f>""</f>
        <v/>
      </c>
      <c r="CF295" t="str">
        <f>""</f>
        <v/>
      </c>
      <c r="CG295" t="str">
        <f>""</f>
        <v/>
      </c>
      <c r="CH295" t="str">
        <f>""</f>
        <v/>
      </c>
      <c r="CI295" t="str">
        <f>""</f>
        <v/>
      </c>
      <c r="CJ295" t="str">
        <f>""</f>
        <v/>
      </c>
      <c r="CK295" t="str">
        <f>""</f>
        <v/>
      </c>
      <c r="CL295" t="str">
        <f>""</f>
        <v/>
      </c>
      <c r="CM295" t="str">
        <f>""</f>
        <v/>
      </c>
      <c r="CN295" t="str">
        <f>""</f>
        <v/>
      </c>
      <c r="CO295" t="str">
        <f>""</f>
        <v/>
      </c>
      <c r="CP295" t="str">
        <f>""</f>
        <v/>
      </c>
      <c r="CQ295" t="str">
        <f>""</f>
        <v/>
      </c>
      <c r="CR295" t="str">
        <f>""</f>
        <v/>
      </c>
      <c r="CS295" t="str">
        <f>""</f>
        <v/>
      </c>
      <c r="CT295" t="str">
        <f>""</f>
        <v/>
      </c>
      <c r="CU295" t="str">
        <f>""</f>
        <v/>
      </c>
      <c r="CV295" t="str">
        <f>""</f>
        <v/>
      </c>
      <c r="CW295" t="str">
        <f>""</f>
        <v/>
      </c>
      <c r="CX295" t="str">
        <f>""</f>
        <v/>
      </c>
      <c r="CY295" t="str">
        <f>""</f>
        <v/>
      </c>
      <c r="CZ295" t="str">
        <f>""</f>
        <v/>
      </c>
      <c r="DA295" t="str">
        <f>""</f>
        <v/>
      </c>
      <c r="DB295" t="str">
        <f>""</f>
        <v/>
      </c>
      <c r="DC295" t="str">
        <f>""</f>
        <v/>
      </c>
      <c r="DD295" t="str">
        <f>""</f>
        <v/>
      </c>
      <c r="DE295" t="str">
        <f>""</f>
        <v/>
      </c>
      <c r="DF295" t="str">
        <f>""</f>
        <v/>
      </c>
      <c r="DG295" t="str">
        <f>""</f>
        <v/>
      </c>
      <c r="DH295" t="str">
        <f>""</f>
        <v/>
      </c>
      <c r="DI295" t="str">
        <f>""</f>
        <v/>
      </c>
      <c r="DJ295" t="str">
        <f>""</f>
        <v/>
      </c>
      <c r="DK295" t="str">
        <f>""</f>
        <v/>
      </c>
      <c r="DL295" t="str">
        <f>""</f>
        <v/>
      </c>
      <c r="DM295" t="str">
        <f>""</f>
        <v/>
      </c>
      <c r="DN295" t="str">
        <f>""</f>
        <v/>
      </c>
      <c r="DO295" t="str">
        <f>""</f>
        <v/>
      </c>
      <c r="DP295" t="str">
        <f>""</f>
        <v/>
      </c>
      <c r="DQ295" t="str">
        <f>""</f>
        <v/>
      </c>
      <c r="DR295" t="str">
        <f>""</f>
        <v/>
      </c>
      <c r="DS295" t="str">
        <f>""</f>
        <v/>
      </c>
      <c r="DT295" t="str">
        <f>""</f>
        <v/>
      </c>
      <c r="DU295" t="str">
        <f>""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/>
  </sheetViews>
  <sheetFormatPr defaultRowHeight="15" x14ac:dyDescent="0.25"/>
  <cols>
    <col min="1" max="1" width="9.140625" bestFit="1" customWidth="1"/>
  </cols>
  <sheetData>
    <row r="1" spans="1:1" x14ac:dyDescent="0.25">
      <c r="A1" s="1"/>
    </row>
    <row r="2" spans="1:1" x14ac:dyDescent="0.25">
      <c r="A2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</v>
      </c>
    </row>
    <row r="32" spans="1:1" x14ac:dyDescent="0.25">
      <c r="A32" t="s">
        <v>26</v>
      </c>
    </row>
    <row r="33" spans="1:1" x14ac:dyDescent="0.25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BIData</vt:lpstr>
      <vt:lpstr>ReferenceData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Lev Rozanov</cp:lastModifiedBy>
  <dcterms:created xsi:type="dcterms:W3CDTF">2013-04-03T15:49:21Z</dcterms:created>
  <dcterms:modified xsi:type="dcterms:W3CDTF">2025-03-24T14:58:31Z</dcterms:modified>
</cp:coreProperties>
</file>